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がん対策推進室\☆ホームページ（仮置き用）※ＨＰ掲載後削除\1★平成28年度各がん検診実績\乳がん\"/>
    </mc:Choice>
  </mc:AlternateContent>
  <bookViews>
    <workbookView xWindow="930" yWindow="0" windowWidth="19560" windowHeight="7815"/>
  </bookViews>
  <sheets>
    <sheet name="Sheet1" sheetId="1" r:id="rId1"/>
  </sheets>
  <definedNames>
    <definedName name="_xlnm.Print_Area" localSheetId="0">Sheet1!$A$1:$K$59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A58" i="1"/>
  <c r="G57" i="1"/>
  <c r="E57" i="1"/>
  <c r="F57" i="1" s="1"/>
  <c r="D57" i="1"/>
  <c r="K57" i="1" s="1"/>
  <c r="G56" i="1"/>
  <c r="H56" i="1" s="1"/>
  <c r="E56" i="1"/>
  <c r="J56" i="1" s="1"/>
  <c r="D56" i="1"/>
  <c r="F56" i="1" s="1"/>
  <c r="I55" i="1"/>
  <c r="I58" i="1" s="1"/>
  <c r="G55" i="1"/>
  <c r="G58" i="1" s="1"/>
  <c r="E55" i="1"/>
  <c r="D55" i="1"/>
  <c r="D58" i="1" s="1"/>
  <c r="B54" i="1"/>
  <c r="A54" i="1"/>
  <c r="K53" i="1"/>
  <c r="J53" i="1"/>
  <c r="H53" i="1"/>
  <c r="F53" i="1"/>
  <c r="I52" i="1"/>
  <c r="G52" i="1"/>
  <c r="H52" i="1" s="1"/>
  <c r="E52" i="1"/>
  <c r="D52" i="1"/>
  <c r="F52" i="1" s="1"/>
  <c r="I51" i="1"/>
  <c r="J51" i="1" s="1"/>
  <c r="G51" i="1"/>
  <c r="H51" i="1" s="1"/>
  <c r="E51" i="1"/>
  <c r="D51" i="1"/>
  <c r="I50" i="1"/>
  <c r="I54" i="1" s="1"/>
  <c r="G50" i="1"/>
  <c r="G54" i="1" s="1"/>
  <c r="H54" i="1" s="1"/>
  <c r="E50" i="1"/>
  <c r="E54" i="1" s="1"/>
  <c r="D50" i="1"/>
  <c r="F50" i="1" s="1"/>
  <c r="B49" i="1"/>
  <c r="A49" i="1"/>
  <c r="G48" i="1"/>
  <c r="E48" i="1"/>
  <c r="F48" i="1" s="1"/>
  <c r="D48" i="1"/>
  <c r="K48" i="1" s="1"/>
  <c r="G47" i="1"/>
  <c r="H47" i="1" s="1"/>
  <c r="E47" i="1"/>
  <c r="J47" i="1" s="1"/>
  <c r="D47" i="1"/>
  <c r="F47" i="1" s="1"/>
  <c r="I46" i="1"/>
  <c r="I49" i="1" s="1"/>
  <c r="G46" i="1"/>
  <c r="G49" i="1" s="1"/>
  <c r="E46" i="1"/>
  <c r="D46" i="1"/>
  <c r="D49" i="1" s="1"/>
  <c r="B45" i="1"/>
  <c r="A45" i="1"/>
  <c r="I44" i="1"/>
  <c r="G44" i="1"/>
  <c r="E44" i="1"/>
  <c r="J44" i="1" s="1"/>
  <c r="D44" i="1"/>
  <c r="I43" i="1"/>
  <c r="I45" i="1" s="1"/>
  <c r="G43" i="1"/>
  <c r="G45" i="1" s="1"/>
  <c r="H45" i="1" s="1"/>
  <c r="E43" i="1"/>
  <c r="E45" i="1" s="1"/>
  <c r="F45" i="1" s="1"/>
  <c r="D43" i="1"/>
  <c r="D45" i="1" s="1"/>
  <c r="B42" i="1"/>
  <c r="A42" i="1"/>
  <c r="I41" i="1"/>
  <c r="G41" i="1"/>
  <c r="E41" i="1"/>
  <c r="J41" i="1" s="1"/>
  <c r="D41" i="1"/>
  <c r="G40" i="1"/>
  <c r="E40" i="1"/>
  <c r="D40" i="1"/>
  <c r="K40" i="1" s="1"/>
  <c r="G39" i="1"/>
  <c r="E39" i="1"/>
  <c r="J39" i="1" s="1"/>
  <c r="D39" i="1"/>
  <c r="I38" i="1"/>
  <c r="G38" i="1"/>
  <c r="E38" i="1"/>
  <c r="J38" i="1" s="1"/>
  <c r="D38" i="1"/>
  <c r="I37" i="1"/>
  <c r="I42" i="1" s="1"/>
  <c r="G37" i="1"/>
  <c r="E37" i="1"/>
  <c r="E42" i="1" s="1"/>
  <c r="D37" i="1"/>
  <c r="B36" i="1"/>
  <c r="A36" i="1"/>
  <c r="G35" i="1"/>
  <c r="E35" i="1"/>
  <c r="D35" i="1"/>
  <c r="K35" i="1" s="1"/>
  <c r="I34" i="1"/>
  <c r="K34" i="1" s="1"/>
  <c r="G34" i="1"/>
  <c r="E34" i="1"/>
  <c r="F34" i="1" s="1"/>
  <c r="D34" i="1"/>
  <c r="G33" i="1"/>
  <c r="E33" i="1"/>
  <c r="J33" i="1" s="1"/>
  <c r="D33" i="1"/>
  <c r="K33" i="1" s="1"/>
  <c r="I32" i="1"/>
  <c r="G32" i="1"/>
  <c r="E32" i="1"/>
  <c r="J32" i="1" s="1"/>
  <c r="D32" i="1"/>
  <c r="I31" i="1"/>
  <c r="G31" i="1"/>
  <c r="E31" i="1"/>
  <c r="J31" i="1" s="1"/>
  <c r="D31" i="1"/>
  <c r="I30" i="1"/>
  <c r="G30" i="1"/>
  <c r="E30" i="1"/>
  <c r="J30" i="1" s="1"/>
  <c r="D30" i="1"/>
  <c r="I29" i="1"/>
  <c r="G29" i="1"/>
  <c r="E29" i="1"/>
  <c r="J29" i="1" s="1"/>
  <c r="D29" i="1"/>
  <c r="B28" i="1"/>
  <c r="A28" i="1"/>
  <c r="G27" i="1"/>
  <c r="E27" i="1"/>
  <c r="F27" i="1" s="1"/>
  <c r="D27" i="1"/>
  <c r="K27" i="1" s="1"/>
  <c r="I26" i="1"/>
  <c r="G26" i="1"/>
  <c r="E26" i="1"/>
  <c r="F26" i="1" s="1"/>
  <c r="D26" i="1"/>
  <c r="I25" i="1"/>
  <c r="G25" i="1"/>
  <c r="E25" i="1"/>
  <c r="D25" i="1"/>
  <c r="D28" i="1" s="1"/>
  <c r="G24" i="1"/>
  <c r="B24" i="1"/>
  <c r="A24" i="1"/>
  <c r="G23" i="1"/>
  <c r="E23" i="1"/>
  <c r="J23" i="1" s="1"/>
  <c r="D23" i="1"/>
  <c r="K23" i="1" s="1"/>
  <c r="I22" i="1"/>
  <c r="G22" i="1"/>
  <c r="E22" i="1"/>
  <c r="E24" i="1" s="1"/>
  <c r="D22" i="1"/>
  <c r="B21" i="1"/>
  <c r="A21" i="1"/>
  <c r="I20" i="1"/>
  <c r="G20" i="1"/>
  <c r="E20" i="1"/>
  <c r="F20" i="1" s="1"/>
  <c r="D20" i="1"/>
  <c r="I19" i="1"/>
  <c r="I21" i="1" s="1"/>
  <c r="G19" i="1"/>
  <c r="G21" i="1" s="1"/>
  <c r="E19" i="1"/>
  <c r="E21" i="1" s="1"/>
  <c r="F21" i="1" s="1"/>
  <c r="D19" i="1"/>
  <c r="D21" i="1" s="1"/>
  <c r="K18" i="1"/>
  <c r="J18" i="1"/>
  <c r="H18" i="1"/>
  <c r="F18" i="1"/>
  <c r="I17" i="1"/>
  <c r="B17" i="1"/>
  <c r="A17" i="1"/>
  <c r="G16" i="1"/>
  <c r="H16" i="1" s="1"/>
  <c r="E16" i="1"/>
  <c r="J16" i="1" s="1"/>
  <c r="D16" i="1"/>
  <c r="K16" i="1" s="1"/>
  <c r="G15" i="1"/>
  <c r="E15" i="1"/>
  <c r="F15" i="1" s="1"/>
  <c r="D15" i="1"/>
  <c r="K15" i="1" s="1"/>
  <c r="G14" i="1"/>
  <c r="E14" i="1"/>
  <c r="J14" i="1" s="1"/>
  <c r="D14" i="1"/>
  <c r="K14" i="1" s="1"/>
  <c r="G13" i="1"/>
  <c r="H13" i="1" s="1"/>
  <c r="E13" i="1"/>
  <c r="D13" i="1"/>
  <c r="D17" i="1" s="1"/>
  <c r="B12" i="1"/>
  <c r="A12" i="1"/>
  <c r="I11" i="1"/>
  <c r="G11" i="1"/>
  <c r="H11" i="1" s="1"/>
  <c r="E11" i="1"/>
  <c r="D11" i="1"/>
  <c r="I10" i="1"/>
  <c r="G10" i="1"/>
  <c r="H10" i="1" s="1"/>
  <c r="E10" i="1"/>
  <c r="D10" i="1"/>
  <c r="D12" i="1" s="1"/>
  <c r="B9" i="1"/>
  <c r="B59" i="1" s="1"/>
  <c r="A9" i="1"/>
  <c r="G8" i="1"/>
  <c r="E8" i="1"/>
  <c r="J8" i="1" s="1"/>
  <c r="D8" i="1"/>
  <c r="K8" i="1" s="1"/>
  <c r="K7" i="1"/>
  <c r="J7" i="1"/>
  <c r="H7" i="1"/>
  <c r="F7" i="1"/>
  <c r="G6" i="1"/>
  <c r="H6" i="1" s="1"/>
  <c r="E6" i="1"/>
  <c r="D6" i="1"/>
  <c r="K6" i="1" s="1"/>
  <c r="G5" i="1"/>
  <c r="H5" i="1" s="1"/>
  <c r="E5" i="1"/>
  <c r="J5" i="1" s="1"/>
  <c r="D5" i="1"/>
  <c r="K5" i="1" s="1"/>
  <c r="I4" i="1"/>
  <c r="G4" i="1"/>
  <c r="H4" i="1" s="1"/>
  <c r="E4" i="1"/>
  <c r="D4" i="1"/>
  <c r="F4" i="1" s="1"/>
  <c r="I3" i="1"/>
  <c r="G3" i="1"/>
  <c r="H3" i="1" s="1"/>
  <c r="E3" i="1"/>
  <c r="D3" i="1"/>
  <c r="K3" i="1" l="1"/>
  <c r="I9" i="1"/>
  <c r="J3" i="1"/>
  <c r="K4" i="1"/>
  <c r="J4" i="1"/>
  <c r="H8" i="1"/>
  <c r="D9" i="1"/>
  <c r="H14" i="1"/>
  <c r="J20" i="1"/>
  <c r="H22" i="1"/>
  <c r="J22" i="1"/>
  <c r="H23" i="1"/>
  <c r="K25" i="1"/>
  <c r="H29" i="1"/>
  <c r="H30" i="1"/>
  <c r="H31" i="1"/>
  <c r="H32" i="1"/>
  <c r="H33" i="1"/>
  <c r="H37" i="1"/>
  <c r="J37" i="1"/>
  <c r="H38" i="1"/>
  <c r="H39" i="1"/>
  <c r="H41" i="1"/>
  <c r="H43" i="1"/>
  <c r="J43" i="1"/>
  <c r="H44" i="1"/>
  <c r="K47" i="1"/>
  <c r="D54" i="1"/>
  <c r="K52" i="1"/>
  <c r="K56" i="1"/>
  <c r="F6" i="1"/>
  <c r="A59" i="1"/>
  <c r="F10" i="1"/>
  <c r="J10" i="1"/>
  <c r="F11" i="1"/>
  <c r="J11" i="1"/>
  <c r="F13" i="1"/>
  <c r="H15" i="1"/>
  <c r="H21" i="1"/>
  <c r="H20" i="1"/>
  <c r="K22" i="1"/>
  <c r="I24" i="1"/>
  <c r="H27" i="1"/>
  <c r="D36" i="1"/>
  <c r="I36" i="1"/>
  <c r="K36" i="1" s="1"/>
  <c r="F30" i="1"/>
  <c r="K30" i="1"/>
  <c r="F31" i="1"/>
  <c r="F32" i="1"/>
  <c r="K32" i="1"/>
  <c r="H34" i="1"/>
  <c r="F35" i="1"/>
  <c r="F37" i="1"/>
  <c r="G42" i="1"/>
  <c r="H42" i="1" s="1"/>
  <c r="D42" i="1"/>
  <c r="F42" i="1" s="1"/>
  <c r="F39" i="1"/>
  <c r="K39" i="1"/>
  <c r="F40" i="1"/>
  <c r="F41" i="1"/>
  <c r="K41" i="1"/>
  <c r="F44" i="1"/>
  <c r="K44" i="1"/>
  <c r="H46" i="1"/>
  <c r="J46" i="1"/>
  <c r="H50" i="1"/>
  <c r="J50" i="1"/>
  <c r="J52" i="1"/>
  <c r="H55" i="1"/>
  <c r="J55" i="1"/>
  <c r="H58" i="1"/>
  <c r="F54" i="1"/>
  <c r="F3" i="1"/>
  <c r="F5" i="1"/>
  <c r="J6" i="1"/>
  <c r="F8" i="1"/>
  <c r="E9" i="1"/>
  <c r="G9" i="1"/>
  <c r="K9" i="1"/>
  <c r="K10" i="1"/>
  <c r="K11" i="1"/>
  <c r="E12" i="1"/>
  <c r="F12" i="1" s="1"/>
  <c r="G12" i="1"/>
  <c r="I12" i="1"/>
  <c r="J13" i="1"/>
  <c r="F14" i="1"/>
  <c r="J15" i="1"/>
  <c r="F16" i="1"/>
  <c r="E17" i="1"/>
  <c r="F17" i="1" s="1"/>
  <c r="G17" i="1"/>
  <c r="K17" i="1"/>
  <c r="K21" i="1"/>
  <c r="K19" i="1"/>
  <c r="K20" i="1"/>
  <c r="J21" i="1"/>
  <c r="F23" i="1"/>
  <c r="J24" i="1"/>
  <c r="G28" i="1"/>
  <c r="H25" i="1"/>
  <c r="J26" i="1"/>
  <c r="F29" i="1"/>
  <c r="F33" i="1"/>
  <c r="J35" i="1"/>
  <c r="F38" i="1"/>
  <c r="J40" i="1"/>
  <c r="F43" i="1"/>
  <c r="F46" i="1"/>
  <c r="J48" i="1"/>
  <c r="K54" i="1"/>
  <c r="F51" i="1"/>
  <c r="F55" i="1"/>
  <c r="J57" i="1"/>
  <c r="K13" i="1"/>
  <c r="F19" i="1"/>
  <c r="H19" i="1"/>
  <c r="J19" i="1"/>
  <c r="D24" i="1"/>
  <c r="F22" i="1"/>
  <c r="H24" i="1"/>
  <c r="E28" i="1"/>
  <c r="F28" i="1" s="1"/>
  <c r="F25" i="1"/>
  <c r="I28" i="1"/>
  <c r="J25" i="1"/>
  <c r="H26" i="1"/>
  <c r="K26" i="1"/>
  <c r="J27" i="1"/>
  <c r="E36" i="1"/>
  <c r="G36" i="1"/>
  <c r="H36" i="1" s="1"/>
  <c r="K31" i="1"/>
  <c r="J34" i="1"/>
  <c r="H35" i="1"/>
  <c r="K38" i="1"/>
  <c r="H40" i="1"/>
  <c r="J42" i="1"/>
  <c r="K45" i="1"/>
  <c r="J45" i="1"/>
  <c r="E49" i="1"/>
  <c r="K49" i="1"/>
  <c r="H48" i="1"/>
  <c r="K51" i="1"/>
  <c r="J54" i="1"/>
  <c r="E58" i="1"/>
  <c r="K58" i="1"/>
  <c r="H57" i="1"/>
  <c r="K29" i="1"/>
  <c r="K37" i="1"/>
  <c r="K43" i="1"/>
  <c r="K46" i="1"/>
  <c r="K50" i="1"/>
  <c r="K55" i="1"/>
  <c r="D59" i="1" l="1"/>
  <c r="K42" i="1"/>
  <c r="H17" i="1"/>
  <c r="J17" i="1"/>
  <c r="J49" i="1"/>
  <c r="F49" i="1"/>
  <c r="K28" i="1"/>
  <c r="J28" i="1"/>
  <c r="J12" i="1"/>
  <c r="K12" i="1"/>
  <c r="I59" i="1"/>
  <c r="E59" i="1"/>
  <c r="F59" i="1" s="1"/>
  <c r="F9" i="1"/>
  <c r="J58" i="1"/>
  <c r="F58" i="1"/>
  <c r="J36" i="1"/>
  <c r="F36" i="1"/>
  <c r="K24" i="1"/>
  <c r="J9" i="1"/>
  <c r="H28" i="1"/>
  <c r="F24" i="1"/>
  <c r="H12" i="1"/>
  <c r="G59" i="1"/>
  <c r="H9" i="1"/>
  <c r="H49" i="1"/>
  <c r="H59" i="1" l="1"/>
  <c r="K59" i="1"/>
  <c r="J59" i="1"/>
</calcChain>
</file>

<file path=xl/sharedStrings.xml><?xml version="1.0" encoding="utf-8"?>
<sst xmlns="http://schemas.openxmlformats.org/spreadsheetml/2006/main" count="157" uniqueCount="76">
  <si>
    <t>市町村別・保健所別　精度管理指標　要精検率・精検受診率・陽性反応適中度・がん発見率</t>
    <rPh sb="0" eb="3">
      <t>シチョウソン</t>
    </rPh>
    <rPh sb="3" eb="4">
      <t>ベツ</t>
    </rPh>
    <rPh sb="5" eb="8">
      <t>ホケンジョ</t>
    </rPh>
    <rPh sb="8" eb="9">
      <t>ベツ</t>
    </rPh>
    <rPh sb="10" eb="12">
      <t>セイド</t>
    </rPh>
    <rPh sb="12" eb="14">
      <t>カンリ</t>
    </rPh>
    <rPh sb="14" eb="16">
      <t>シヒョウ</t>
    </rPh>
    <rPh sb="17" eb="18">
      <t>ヨウ</t>
    </rPh>
    <rPh sb="18" eb="19">
      <t>セイ</t>
    </rPh>
    <rPh sb="19" eb="20">
      <t>ケン</t>
    </rPh>
    <rPh sb="20" eb="21">
      <t>リツ</t>
    </rPh>
    <rPh sb="22" eb="23">
      <t>セイ</t>
    </rPh>
    <rPh sb="23" eb="24">
      <t>ケン</t>
    </rPh>
    <rPh sb="24" eb="26">
      <t>ジュシン</t>
    </rPh>
    <rPh sb="26" eb="27">
      <t>リツ</t>
    </rPh>
    <rPh sb="28" eb="30">
      <t>ヨウセイ</t>
    </rPh>
    <rPh sb="30" eb="32">
      <t>ハンノウ</t>
    </rPh>
    <rPh sb="32" eb="33">
      <t>テキ</t>
    </rPh>
    <rPh sb="33" eb="35">
      <t>チュウド</t>
    </rPh>
    <rPh sb="38" eb="40">
      <t>ハッケン</t>
    </rPh>
    <rPh sb="40" eb="41">
      <t>リツ</t>
    </rPh>
    <phoneticPr fontId="4"/>
  </si>
  <si>
    <t>医療機関検診</t>
    <rPh sb="0" eb="2">
      <t>イリョウ</t>
    </rPh>
    <rPh sb="2" eb="4">
      <t>キカン</t>
    </rPh>
    <rPh sb="4" eb="6">
      <t>ケンシン</t>
    </rPh>
    <phoneticPr fontId="4"/>
  </si>
  <si>
    <t>集団検診</t>
    <rPh sb="0" eb="2">
      <t>シュウダン</t>
    </rPh>
    <rPh sb="2" eb="4">
      <t>ケンシン</t>
    </rPh>
    <phoneticPr fontId="4"/>
  </si>
  <si>
    <t>市町村名</t>
    <rPh sb="0" eb="3">
      <t>シチョウソン</t>
    </rPh>
    <rPh sb="3" eb="4">
      <t>メイ</t>
    </rPh>
    <phoneticPr fontId="5"/>
  </si>
  <si>
    <t>検診受診者A(人)</t>
    <rPh sb="0" eb="2">
      <t>ケンシン</t>
    </rPh>
    <rPh sb="2" eb="4">
      <t>ジュシン</t>
    </rPh>
    <rPh sb="4" eb="5">
      <t>シャ</t>
    </rPh>
    <rPh sb="7" eb="8">
      <t>ニン</t>
    </rPh>
    <phoneticPr fontId="5"/>
  </si>
  <si>
    <t>要精密検査B(人)</t>
    <rPh sb="0" eb="1">
      <t>ヨウ</t>
    </rPh>
    <rPh sb="1" eb="3">
      <t>セイミツ</t>
    </rPh>
    <rPh sb="3" eb="4">
      <t>ケン</t>
    </rPh>
    <rPh sb="4" eb="5">
      <t>ジャ</t>
    </rPh>
    <phoneticPr fontId="5"/>
  </si>
  <si>
    <t>要精検率B/A(％)</t>
    <rPh sb="0" eb="1">
      <t>ヨウ</t>
    </rPh>
    <rPh sb="1" eb="2">
      <t>セイ</t>
    </rPh>
    <rPh sb="2" eb="3">
      <t>ケン</t>
    </rPh>
    <rPh sb="3" eb="4">
      <t>リツ</t>
    </rPh>
    <phoneticPr fontId="5"/>
  </si>
  <si>
    <t>精検受診者C(人)</t>
    <rPh sb="0" eb="1">
      <t>セイ</t>
    </rPh>
    <rPh sb="1" eb="2">
      <t>ケン</t>
    </rPh>
    <rPh sb="2" eb="5">
      <t>ジュシンシャ</t>
    </rPh>
    <phoneticPr fontId="5"/>
  </si>
  <si>
    <t>精検受診率C/B(％)</t>
    <rPh sb="0" eb="1">
      <t>セイ</t>
    </rPh>
    <rPh sb="1" eb="2">
      <t>ケン</t>
    </rPh>
    <rPh sb="2" eb="5">
      <t>ジュシンリツ</t>
    </rPh>
    <phoneticPr fontId="5"/>
  </si>
  <si>
    <t>発見乳がんD(人)</t>
    <rPh sb="0" eb="2">
      <t>ハッケン</t>
    </rPh>
    <phoneticPr fontId="5"/>
  </si>
  <si>
    <t>陽性反応
適中度D/B(％)</t>
    <phoneticPr fontId="4"/>
  </si>
  <si>
    <t>がん発見率D/A(％)</t>
    <phoneticPr fontId="4"/>
  </si>
  <si>
    <t>○</t>
    <phoneticPr fontId="4"/>
  </si>
  <si>
    <t>水戸市</t>
  </si>
  <si>
    <t>笠間市</t>
  </si>
  <si>
    <t>小美玉市</t>
    <rPh sb="0" eb="2">
      <t>オミ</t>
    </rPh>
    <rPh sb="2" eb="3">
      <t>タマ</t>
    </rPh>
    <rPh sb="3" eb="4">
      <t>シ</t>
    </rPh>
    <phoneticPr fontId="4"/>
  </si>
  <si>
    <t>茨城町</t>
    <rPh sb="0" eb="3">
      <t>イバラキマチ</t>
    </rPh>
    <phoneticPr fontId="4"/>
  </si>
  <si>
    <t>-</t>
    <phoneticPr fontId="4"/>
  </si>
  <si>
    <t>城里町</t>
    <rPh sb="0" eb="1">
      <t>シロ</t>
    </rPh>
    <rPh sb="1" eb="3">
      <t>サトマチ</t>
    </rPh>
    <phoneticPr fontId="4"/>
  </si>
  <si>
    <t>大洗町</t>
  </si>
  <si>
    <t>水戸保健所管内</t>
    <rPh sb="0" eb="2">
      <t>ミト</t>
    </rPh>
    <rPh sb="2" eb="5">
      <t>ホケンジョ</t>
    </rPh>
    <rPh sb="5" eb="7">
      <t>カンナイ</t>
    </rPh>
    <phoneticPr fontId="4"/>
  </si>
  <si>
    <t>ひたちなか市</t>
  </si>
  <si>
    <t>東海村</t>
  </si>
  <si>
    <t>ひたちなか保健所管内</t>
    <rPh sb="5" eb="8">
      <t>ホケンジョ</t>
    </rPh>
    <rPh sb="8" eb="10">
      <t>カンナイ</t>
    </rPh>
    <phoneticPr fontId="4"/>
  </si>
  <si>
    <t>常陸太田市</t>
  </si>
  <si>
    <t>那珂市</t>
    <rPh sb="0" eb="2">
      <t>ナカ</t>
    </rPh>
    <rPh sb="2" eb="3">
      <t>シ</t>
    </rPh>
    <phoneticPr fontId="4"/>
  </si>
  <si>
    <t>常陸大宮市</t>
    <rPh sb="0" eb="5">
      <t>ヒタチオオミヤシ</t>
    </rPh>
    <phoneticPr fontId="4"/>
  </si>
  <si>
    <t>大子町</t>
  </si>
  <si>
    <t>常陸大宮保健所管内</t>
    <rPh sb="0" eb="4">
      <t>ヒタチオオミヤ</t>
    </rPh>
    <rPh sb="4" eb="7">
      <t>ホケンジョ</t>
    </rPh>
    <rPh sb="7" eb="9">
      <t>カンナイ</t>
    </rPh>
    <phoneticPr fontId="4"/>
  </si>
  <si>
    <t>日立市</t>
  </si>
  <si>
    <t>○</t>
    <phoneticPr fontId="4"/>
  </si>
  <si>
    <t>高萩市</t>
  </si>
  <si>
    <t>北茨城市</t>
  </si>
  <si>
    <t>日立保健所管内</t>
    <rPh sb="0" eb="2">
      <t>ヒタチ</t>
    </rPh>
    <rPh sb="2" eb="5">
      <t>ホケンジョ</t>
    </rPh>
    <rPh sb="5" eb="7">
      <t>カンナイ</t>
    </rPh>
    <phoneticPr fontId="4"/>
  </si>
  <si>
    <t>鉾田市</t>
    <rPh sb="0" eb="2">
      <t>ホコタ</t>
    </rPh>
    <rPh sb="2" eb="3">
      <t>シ</t>
    </rPh>
    <phoneticPr fontId="4"/>
  </si>
  <si>
    <t>行方市</t>
    <rPh sb="0" eb="2">
      <t>ナメカタ</t>
    </rPh>
    <rPh sb="2" eb="3">
      <t>シ</t>
    </rPh>
    <phoneticPr fontId="4"/>
  </si>
  <si>
    <t>鉾田保健所管内</t>
    <rPh sb="0" eb="2">
      <t>ホコタ</t>
    </rPh>
    <rPh sb="2" eb="5">
      <t>ホケンジョ</t>
    </rPh>
    <rPh sb="5" eb="7">
      <t>カンナイ</t>
    </rPh>
    <phoneticPr fontId="4"/>
  </si>
  <si>
    <t>鹿嶋市</t>
  </si>
  <si>
    <t>神栖市</t>
    <rPh sb="0" eb="2">
      <t>カミス</t>
    </rPh>
    <rPh sb="2" eb="3">
      <t>シ</t>
    </rPh>
    <phoneticPr fontId="4"/>
  </si>
  <si>
    <t>潮来市</t>
    <rPh sb="2" eb="3">
      <t>シ</t>
    </rPh>
    <phoneticPr fontId="4"/>
  </si>
  <si>
    <t>潮来保健所管内</t>
    <rPh sb="0" eb="2">
      <t>イタコ</t>
    </rPh>
    <rPh sb="2" eb="5">
      <t>ホケンジョ</t>
    </rPh>
    <rPh sb="5" eb="7">
      <t>カンナイ</t>
    </rPh>
    <phoneticPr fontId="4"/>
  </si>
  <si>
    <t>龍ヶ崎市</t>
  </si>
  <si>
    <t>取手市</t>
  </si>
  <si>
    <t>稲敷市</t>
    <rPh sb="0" eb="2">
      <t>イナシキ</t>
    </rPh>
    <rPh sb="2" eb="3">
      <t>シ</t>
    </rPh>
    <phoneticPr fontId="4"/>
  </si>
  <si>
    <t>牛久市</t>
  </si>
  <si>
    <t>河内町</t>
  </si>
  <si>
    <t>守谷市</t>
    <rPh sb="2" eb="3">
      <t>シ</t>
    </rPh>
    <phoneticPr fontId="4"/>
  </si>
  <si>
    <t>利根町</t>
  </si>
  <si>
    <t>竜ヶ崎保健所管内</t>
    <rPh sb="0" eb="3">
      <t>リュウガサキ</t>
    </rPh>
    <rPh sb="3" eb="6">
      <t>ホケンジョ</t>
    </rPh>
    <rPh sb="6" eb="8">
      <t>カンナイ</t>
    </rPh>
    <phoneticPr fontId="4"/>
  </si>
  <si>
    <t>土浦市</t>
  </si>
  <si>
    <t>石岡市</t>
  </si>
  <si>
    <t>美浦村</t>
  </si>
  <si>
    <t>○</t>
    <phoneticPr fontId="4"/>
  </si>
  <si>
    <t>阿見町</t>
  </si>
  <si>
    <t>かすみがうら市</t>
    <rPh sb="6" eb="7">
      <t>シ</t>
    </rPh>
    <phoneticPr fontId="4"/>
  </si>
  <si>
    <t>土浦保健所管内</t>
    <rPh sb="0" eb="2">
      <t>ツチウラ</t>
    </rPh>
    <rPh sb="2" eb="5">
      <t>ホケンジョ</t>
    </rPh>
    <rPh sb="5" eb="7">
      <t>カンナイ</t>
    </rPh>
    <phoneticPr fontId="4"/>
  </si>
  <si>
    <t>つくば市</t>
  </si>
  <si>
    <t>つくばみらい市</t>
    <rPh sb="6" eb="7">
      <t>シ</t>
    </rPh>
    <phoneticPr fontId="4"/>
  </si>
  <si>
    <t>つくば保健所管内</t>
    <rPh sb="3" eb="6">
      <t>ホケンジョ</t>
    </rPh>
    <rPh sb="6" eb="8">
      <t>カンナイ</t>
    </rPh>
    <phoneticPr fontId="4"/>
  </si>
  <si>
    <t>筑西市</t>
    <rPh sb="0" eb="1">
      <t>チク</t>
    </rPh>
    <rPh sb="1" eb="2">
      <t>セイ</t>
    </rPh>
    <rPh sb="2" eb="3">
      <t>シ</t>
    </rPh>
    <phoneticPr fontId="4"/>
  </si>
  <si>
    <t>結城市</t>
  </si>
  <si>
    <t xml:space="preserve">桜川市       </t>
    <rPh sb="0" eb="2">
      <t>サクラガワ</t>
    </rPh>
    <rPh sb="2" eb="3">
      <t>シ</t>
    </rPh>
    <phoneticPr fontId="4"/>
  </si>
  <si>
    <t>筑西保健所管内</t>
    <rPh sb="0" eb="2">
      <t>チクセイ</t>
    </rPh>
    <rPh sb="2" eb="5">
      <t>ホケンジョ</t>
    </rPh>
    <rPh sb="5" eb="7">
      <t>カンナイ</t>
    </rPh>
    <phoneticPr fontId="4"/>
  </si>
  <si>
    <t>下妻市</t>
  </si>
  <si>
    <t>常総市</t>
    <rPh sb="0" eb="3">
      <t>ジョウソウシ</t>
    </rPh>
    <phoneticPr fontId="4"/>
  </si>
  <si>
    <t>板東市</t>
    <rPh sb="0" eb="2">
      <t>バンドウ</t>
    </rPh>
    <rPh sb="2" eb="3">
      <t>シ</t>
    </rPh>
    <phoneticPr fontId="4"/>
  </si>
  <si>
    <t>-</t>
    <phoneticPr fontId="4"/>
  </si>
  <si>
    <t>八千代町</t>
    <rPh sb="0" eb="4">
      <t>ヤチヨマチ</t>
    </rPh>
    <phoneticPr fontId="4"/>
  </si>
  <si>
    <t>常総保健所管内</t>
    <rPh sb="0" eb="2">
      <t>ジョウソウ</t>
    </rPh>
    <rPh sb="2" eb="5">
      <t>ホケンジョ</t>
    </rPh>
    <rPh sb="5" eb="7">
      <t>カンナイ</t>
    </rPh>
    <phoneticPr fontId="4"/>
  </si>
  <si>
    <t>○</t>
    <phoneticPr fontId="4"/>
  </si>
  <si>
    <t>○</t>
    <phoneticPr fontId="4"/>
  </si>
  <si>
    <t>古河市</t>
  </si>
  <si>
    <t>五霞町</t>
  </si>
  <si>
    <t>境町</t>
  </si>
  <si>
    <t>古河保健所管内</t>
    <rPh sb="0" eb="2">
      <t>コガ</t>
    </rPh>
    <rPh sb="2" eb="5">
      <t>ホケンジョ</t>
    </rPh>
    <rPh sb="5" eb="7">
      <t>カンナイ</t>
    </rPh>
    <phoneticPr fontId="4"/>
  </si>
  <si>
    <t>県内計</t>
    <rPh sb="0" eb="2">
      <t>ケンナイ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</si>
</sst>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#,##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.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1" applyFont="1" applyFill="1" applyAlignment="1">
      <alignment vertical="center" shrinkToFit="1"/>
    </xf>
    <xf numFmtId="176" fontId="2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shrinkToFit="1"/>
    </xf>
    <xf numFmtId="176" fontId="2" fillId="2" borderId="1" xfId="1" applyNumberFormat="1" applyFont="1" applyFill="1" applyBorder="1" applyAlignment="1">
      <alignment horizontal="center" vertical="center" wrapText="1"/>
    </xf>
    <xf numFmtId="17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176" fontId="2" fillId="0" borderId="1" xfId="1" applyNumberFormat="1" applyFont="1" applyFill="1" applyBorder="1" applyAlignment="1">
      <alignment vertical="center"/>
    </xf>
    <xf numFmtId="178" fontId="2" fillId="3" borderId="1" xfId="1" applyNumberFormat="1" applyFont="1" applyFill="1" applyBorder="1" applyAlignment="1">
      <alignment vertical="center"/>
    </xf>
    <xf numFmtId="178" fontId="2" fillId="2" borderId="1" xfId="1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176" fontId="2" fillId="2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様式第9号（最終校了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topLeftCell="A48" zoomScale="60" zoomScaleNormal="75" workbookViewId="0">
      <selection activeCell="A72" sqref="A72"/>
    </sheetView>
  </sheetViews>
  <sheetFormatPr defaultRowHeight="18.75" x14ac:dyDescent="0.15"/>
  <cols>
    <col min="1" max="2" width="6.875" style="2" customWidth="1"/>
    <col min="3" max="3" width="21.625" style="3" customWidth="1"/>
    <col min="4" max="4" width="15" style="4" customWidth="1"/>
    <col min="5" max="5" width="15" style="1" customWidth="1"/>
    <col min="6" max="6" width="15" style="5" customWidth="1"/>
    <col min="7" max="11" width="15" style="1" customWidth="1"/>
    <col min="12" max="16384" width="9" style="1"/>
  </cols>
  <sheetData>
    <row r="1" spans="1:11" ht="31.5" customHeight="1" x14ac:dyDescent="0.15">
      <c r="A1" s="1" t="s">
        <v>0</v>
      </c>
    </row>
    <row r="2" spans="1:11" ht="80.25" customHeight="1" x14ac:dyDescent="0.15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28.5" customHeight="1" x14ac:dyDescent="0.15">
      <c r="A3" s="11" t="s">
        <v>12</v>
      </c>
      <c r="B3" s="11" t="s">
        <v>12</v>
      </c>
      <c r="C3" s="12" t="s">
        <v>13</v>
      </c>
      <c r="D3" s="13">
        <f>2941+1724</f>
        <v>4665</v>
      </c>
      <c r="E3" s="13">
        <f>102+146</f>
        <v>248</v>
      </c>
      <c r="F3" s="14">
        <f t="shared" ref="F3:F59" si="0">E3/D3*100</f>
        <v>5.3161843515541261</v>
      </c>
      <c r="G3" s="13">
        <f>75+141</f>
        <v>216</v>
      </c>
      <c r="H3" s="15">
        <f>G3/E3*100</f>
        <v>87.096774193548384</v>
      </c>
      <c r="I3" s="13">
        <f>7+12</f>
        <v>19</v>
      </c>
      <c r="J3" s="15">
        <f>I3/E3*100</f>
        <v>7.661290322580645</v>
      </c>
      <c r="K3" s="15">
        <f t="shared" ref="K3:K59" si="1">I3/D3*100</f>
        <v>0.40728831725616294</v>
      </c>
    </row>
    <row r="4" spans="1:11" ht="28.5" customHeight="1" x14ac:dyDescent="0.15">
      <c r="A4" s="11" t="s">
        <v>12</v>
      </c>
      <c r="B4" s="11" t="s">
        <v>12</v>
      </c>
      <c r="C4" s="12" t="s">
        <v>14</v>
      </c>
      <c r="D4" s="13">
        <f>188+1979</f>
        <v>2167</v>
      </c>
      <c r="E4" s="13">
        <f>82+37</f>
        <v>119</v>
      </c>
      <c r="F4" s="14">
        <f t="shared" si="0"/>
        <v>5.4914628518689428</v>
      </c>
      <c r="G4" s="13">
        <f>18+81</f>
        <v>99</v>
      </c>
      <c r="H4" s="15">
        <f t="shared" ref="H4:H59" si="2">G4/E4*100</f>
        <v>83.193277310924373</v>
      </c>
      <c r="I4" s="13">
        <f>6</f>
        <v>6</v>
      </c>
      <c r="J4" s="15">
        <f t="shared" ref="J4:J57" si="3">I4/E4*100</f>
        <v>5.0420168067226889</v>
      </c>
      <c r="K4" s="15">
        <f t="shared" si="1"/>
        <v>0.27688047992616521</v>
      </c>
    </row>
    <row r="5" spans="1:11" ht="28.5" customHeight="1" x14ac:dyDescent="0.15">
      <c r="A5" s="11" t="s">
        <v>12</v>
      </c>
      <c r="B5" s="11" t="s">
        <v>12</v>
      </c>
      <c r="C5" s="12" t="s">
        <v>15</v>
      </c>
      <c r="D5" s="13">
        <f>154+2246</f>
        <v>2400</v>
      </c>
      <c r="E5" s="13">
        <f>27+76</f>
        <v>103</v>
      </c>
      <c r="F5" s="14">
        <f t="shared" si="0"/>
        <v>4.291666666666667</v>
      </c>
      <c r="G5" s="13">
        <f>0+66</f>
        <v>66</v>
      </c>
      <c r="H5" s="15">
        <f t="shared" si="2"/>
        <v>64.077669902912632</v>
      </c>
      <c r="I5" s="13">
        <v>4</v>
      </c>
      <c r="J5" s="15">
        <f t="shared" si="3"/>
        <v>3.8834951456310676</v>
      </c>
      <c r="K5" s="15">
        <f t="shared" si="1"/>
        <v>0.16666666666666669</v>
      </c>
    </row>
    <row r="6" spans="1:11" ht="28.5" customHeight="1" x14ac:dyDescent="0.15">
      <c r="A6" s="11" t="s">
        <v>12</v>
      </c>
      <c r="B6" s="11" t="s">
        <v>12</v>
      </c>
      <c r="C6" s="12" t="s">
        <v>16</v>
      </c>
      <c r="D6" s="13">
        <f>52+1206</f>
        <v>1258</v>
      </c>
      <c r="E6" s="13">
        <f>9+43</f>
        <v>52</v>
      </c>
      <c r="F6" s="14">
        <f t="shared" si="0"/>
        <v>4.1335453100158981</v>
      </c>
      <c r="G6" s="13">
        <f>0+41</f>
        <v>41</v>
      </c>
      <c r="H6" s="15">
        <f>G6/E6*100</f>
        <v>78.84615384615384</v>
      </c>
      <c r="I6" s="13">
        <v>4</v>
      </c>
      <c r="J6" s="15">
        <f t="shared" si="3"/>
        <v>7.6923076923076925</v>
      </c>
      <c r="K6" s="15">
        <f t="shared" si="1"/>
        <v>0.31796502384737679</v>
      </c>
    </row>
    <row r="7" spans="1:11" ht="28.5" customHeight="1" x14ac:dyDescent="0.15">
      <c r="A7" s="11" t="s">
        <v>17</v>
      </c>
      <c r="B7" s="11" t="s">
        <v>12</v>
      </c>
      <c r="C7" s="12" t="s">
        <v>18</v>
      </c>
      <c r="D7" s="13">
        <v>830</v>
      </c>
      <c r="E7" s="13">
        <v>31</v>
      </c>
      <c r="F7" s="14">
        <f t="shared" si="0"/>
        <v>3.7349397590361448</v>
      </c>
      <c r="G7" s="13">
        <v>30</v>
      </c>
      <c r="H7" s="15">
        <f t="shared" si="2"/>
        <v>96.774193548387103</v>
      </c>
      <c r="I7" s="13">
        <v>4</v>
      </c>
      <c r="J7" s="15">
        <f t="shared" si="3"/>
        <v>12.903225806451612</v>
      </c>
      <c r="K7" s="15">
        <f t="shared" si="1"/>
        <v>0.48192771084337355</v>
      </c>
    </row>
    <row r="8" spans="1:11" ht="28.5" customHeight="1" x14ac:dyDescent="0.15">
      <c r="A8" s="11" t="s">
        <v>12</v>
      </c>
      <c r="B8" s="11" t="s">
        <v>12</v>
      </c>
      <c r="C8" s="12" t="s">
        <v>19</v>
      </c>
      <c r="D8" s="13">
        <f>15+617</f>
        <v>632</v>
      </c>
      <c r="E8" s="13">
        <f>3+20</f>
        <v>23</v>
      </c>
      <c r="F8" s="14">
        <f t="shared" si="0"/>
        <v>3.6392405063291138</v>
      </c>
      <c r="G8" s="13">
        <f>2+20</f>
        <v>22</v>
      </c>
      <c r="H8" s="15">
        <f t="shared" si="2"/>
        <v>95.652173913043484</v>
      </c>
      <c r="I8" s="13">
        <v>0</v>
      </c>
      <c r="J8" s="15">
        <f t="shared" si="3"/>
        <v>0</v>
      </c>
      <c r="K8" s="15">
        <f t="shared" si="1"/>
        <v>0</v>
      </c>
    </row>
    <row r="9" spans="1:11" ht="28.5" customHeight="1" x14ac:dyDescent="0.15">
      <c r="A9" s="16">
        <f>COUNTIF(A3:A8,"○")</f>
        <v>5</v>
      </c>
      <c r="B9" s="16">
        <f>COUNTIF(B3:B8,"○")</f>
        <v>6</v>
      </c>
      <c r="C9" s="17" t="s">
        <v>20</v>
      </c>
      <c r="D9" s="18">
        <f>SUM(D3:D8)</f>
        <v>11952</v>
      </c>
      <c r="E9" s="18">
        <f>SUM(E3:E8)</f>
        <v>576</v>
      </c>
      <c r="F9" s="15">
        <f t="shared" si="0"/>
        <v>4.8192771084337354</v>
      </c>
      <c r="G9" s="18">
        <f>SUM(G3:G8)</f>
        <v>474</v>
      </c>
      <c r="H9" s="15">
        <f t="shared" si="2"/>
        <v>82.291666666666657</v>
      </c>
      <c r="I9" s="18">
        <f>SUM(I3:I8)</f>
        <v>37</v>
      </c>
      <c r="J9" s="15">
        <f t="shared" si="3"/>
        <v>6.4236111111111107</v>
      </c>
      <c r="K9" s="15">
        <f t="shared" si="1"/>
        <v>0.30957161981258363</v>
      </c>
    </row>
    <row r="10" spans="1:11" ht="28.5" customHeight="1" x14ac:dyDescent="0.15">
      <c r="A10" s="11" t="s">
        <v>12</v>
      </c>
      <c r="B10" s="11" t="s">
        <v>12</v>
      </c>
      <c r="C10" s="12" t="s">
        <v>21</v>
      </c>
      <c r="D10" s="13">
        <f>1990+2497</f>
        <v>4487</v>
      </c>
      <c r="E10" s="13">
        <f>61+123</f>
        <v>184</v>
      </c>
      <c r="F10" s="14">
        <f t="shared" si="0"/>
        <v>4.1007354579897477</v>
      </c>
      <c r="G10" s="13">
        <f>49+120</f>
        <v>169</v>
      </c>
      <c r="H10" s="15">
        <f t="shared" si="2"/>
        <v>91.847826086956516</v>
      </c>
      <c r="I10" s="13">
        <f>8+9</f>
        <v>17</v>
      </c>
      <c r="J10" s="15">
        <f t="shared" si="3"/>
        <v>9.2391304347826075</v>
      </c>
      <c r="K10" s="15">
        <f t="shared" si="1"/>
        <v>0.37887229774905284</v>
      </c>
    </row>
    <row r="11" spans="1:11" ht="28.5" customHeight="1" x14ac:dyDescent="0.15">
      <c r="A11" s="11" t="s">
        <v>12</v>
      </c>
      <c r="B11" s="11" t="s">
        <v>12</v>
      </c>
      <c r="C11" s="12" t="s">
        <v>22</v>
      </c>
      <c r="D11" s="13">
        <f>1040+1975</f>
        <v>3015</v>
      </c>
      <c r="E11" s="13">
        <f>135+63</f>
        <v>198</v>
      </c>
      <c r="F11" s="14">
        <f t="shared" si="0"/>
        <v>6.567164179104477</v>
      </c>
      <c r="G11" s="13">
        <f>122+58</f>
        <v>180</v>
      </c>
      <c r="H11" s="15">
        <f t="shared" si="2"/>
        <v>90.909090909090907</v>
      </c>
      <c r="I11" s="13">
        <f>2+7</f>
        <v>9</v>
      </c>
      <c r="J11" s="15">
        <f t="shared" si="3"/>
        <v>4.5454545454545459</v>
      </c>
      <c r="K11" s="15">
        <f t="shared" si="1"/>
        <v>0.29850746268656719</v>
      </c>
    </row>
    <row r="12" spans="1:11" ht="28.5" customHeight="1" x14ac:dyDescent="0.15">
      <c r="A12" s="16">
        <f>COUNTIF(A10:A11,"○")</f>
        <v>2</v>
      </c>
      <c r="B12" s="16">
        <f>COUNTIF(B10:B11,"○")</f>
        <v>2</v>
      </c>
      <c r="C12" s="17" t="s">
        <v>23</v>
      </c>
      <c r="D12" s="18">
        <f>SUM(D10:D11)</f>
        <v>7502</v>
      </c>
      <c r="E12" s="18">
        <f>SUM(E10:E11)</f>
        <v>382</v>
      </c>
      <c r="F12" s="15">
        <f t="shared" si="0"/>
        <v>5.0919754732071452</v>
      </c>
      <c r="G12" s="18">
        <f>SUM(G10:G11)</f>
        <v>349</v>
      </c>
      <c r="H12" s="15">
        <f t="shared" si="2"/>
        <v>91.361256544502623</v>
      </c>
      <c r="I12" s="18">
        <f>SUM(I10:I11)</f>
        <v>26</v>
      </c>
      <c r="J12" s="15">
        <f>I12/E12*100</f>
        <v>6.8062827225130889</v>
      </c>
      <c r="K12" s="15">
        <f t="shared" si="1"/>
        <v>0.34657424686750204</v>
      </c>
    </row>
    <row r="13" spans="1:11" ht="28.5" customHeight="1" x14ac:dyDescent="0.15">
      <c r="A13" s="11" t="s">
        <v>12</v>
      </c>
      <c r="B13" s="11" t="s">
        <v>12</v>
      </c>
      <c r="C13" s="12" t="s">
        <v>24</v>
      </c>
      <c r="D13" s="13">
        <f>131+2118</f>
        <v>2249</v>
      </c>
      <c r="E13" s="13">
        <f>17+81</f>
        <v>98</v>
      </c>
      <c r="F13" s="14">
        <f t="shared" si="0"/>
        <v>4.3574922187638947</v>
      </c>
      <c r="G13" s="13">
        <f>17+73</f>
        <v>90</v>
      </c>
      <c r="H13" s="15">
        <f t="shared" si="2"/>
        <v>91.83673469387756</v>
      </c>
      <c r="I13" s="13">
        <v>4</v>
      </c>
      <c r="J13" s="15">
        <f t="shared" si="3"/>
        <v>4.0816326530612246</v>
      </c>
      <c r="K13" s="15">
        <f t="shared" si="1"/>
        <v>0.17785682525566918</v>
      </c>
    </row>
    <row r="14" spans="1:11" ht="28.5" customHeight="1" x14ac:dyDescent="0.15">
      <c r="A14" s="11" t="s">
        <v>12</v>
      </c>
      <c r="B14" s="11" t="s">
        <v>12</v>
      </c>
      <c r="C14" s="12" t="s">
        <v>25</v>
      </c>
      <c r="D14" s="13">
        <f>39+1631</f>
        <v>1670</v>
      </c>
      <c r="E14" s="13">
        <f>5+85</f>
        <v>90</v>
      </c>
      <c r="F14" s="14">
        <f t="shared" si="0"/>
        <v>5.3892215568862278</v>
      </c>
      <c r="G14" s="13">
        <f>5+83</f>
        <v>88</v>
      </c>
      <c r="H14" s="15">
        <f t="shared" si="2"/>
        <v>97.777777777777771</v>
      </c>
      <c r="I14" s="13">
        <v>9</v>
      </c>
      <c r="J14" s="15">
        <f t="shared" si="3"/>
        <v>10</v>
      </c>
      <c r="K14" s="15">
        <f t="shared" si="1"/>
        <v>0.53892215568862278</v>
      </c>
    </row>
    <row r="15" spans="1:11" ht="28.5" customHeight="1" x14ac:dyDescent="0.15">
      <c r="A15" s="11" t="s">
        <v>12</v>
      </c>
      <c r="B15" s="11" t="s">
        <v>12</v>
      </c>
      <c r="C15" s="12" t="s">
        <v>26</v>
      </c>
      <c r="D15" s="13">
        <f>35+3107</f>
        <v>3142</v>
      </c>
      <c r="E15" s="13">
        <f>3+104</f>
        <v>107</v>
      </c>
      <c r="F15" s="14">
        <f t="shared" si="0"/>
        <v>3.4054742202418846</v>
      </c>
      <c r="G15" s="13">
        <f>3+97</f>
        <v>100</v>
      </c>
      <c r="H15" s="15">
        <f t="shared" si="2"/>
        <v>93.45794392523365</v>
      </c>
      <c r="I15" s="13">
        <v>5</v>
      </c>
      <c r="J15" s="15">
        <f t="shared" si="3"/>
        <v>4.6728971962616823</v>
      </c>
      <c r="K15" s="15">
        <f t="shared" si="1"/>
        <v>0.15913430935709738</v>
      </c>
    </row>
    <row r="16" spans="1:11" ht="28.5" customHeight="1" x14ac:dyDescent="0.15">
      <c r="A16" s="11" t="s">
        <v>12</v>
      </c>
      <c r="B16" s="11" t="s">
        <v>12</v>
      </c>
      <c r="C16" s="12" t="s">
        <v>27</v>
      </c>
      <c r="D16" s="13">
        <f>57+474</f>
        <v>531</v>
      </c>
      <c r="E16" s="13">
        <f>7+23</f>
        <v>30</v>
      </c>
      <c r="F16" s="14">
        <f t="shared" si="0"/>
        <v>5.6497175141242941</v>
      </c>
      <c r="G16" s="13">
        <f>6+23</f>
        <v>29</v>
      </c>
      <c r="H16" s="15">
        <f t="shared" si="2"/>
        <v>96.666666666666671</v>
      </c>
      <c r="I16" s="13">
        <v>1</v>
      </c>
      <c r="J16" s="15">
        <f t="shared" si="3"/>
        <v>3.3333333333333335</v>
      </c>
      <c r="K16" s="15">
        <f t="shared" si="1"/>
        <v>0.18832391713747645</v>
      </c>
    </row>
    <row r="17" spans="1:11" ht="28.5" customHeight="1" x14ac:dyDescent="0.15">
      <c r="A17" s="16">
        <f>COUNTIF(A13:A16,"○")</f>
        <v>4</v>
      </c>
      <c r="B17" s="16">
        <f>COUNTIF(B13:B16,"○")</f>
        <v>4</v>
      </c>
      <c r="C17" s="17" t="s">
        <v>28</v>
      </c>
      <c r="D17" s="18">
        <f>SUM(D13:D16)</f>
        <v>7592</v>
      </c>
      <c r="E17" s="18">
        <f>SUM(E13:E16)</f>
        <v>325</v>
      </c>
      <c r="F17" s="15">
        <f t="shared" si="0"/>
        <v>4.2808219178082192</v>
      </c>
      <c r="G17" s="18">
        <f>SUM(G13:G16)</f>
        <v>307</v>
      </c>
      <c r="H17" s="15">
        <f t="shared" si="2"/>
        <v>94.461538461538467</v>
      </c>
      <c r="I17" s="18">
        <f>SUM(I13:I16)</f>
        <v>19</v>
      </c>
      <c r="J17" s="15">
        <f>I17/E17*100</f>
        <v>5.8461538461538458</v>
      </c>
      <c r="K17" s="15">
        <f t="shared" si="1"/>
        <v>0.25026343519494204</v>
      </c>
    </row>
    <row r="18" spans="1:11" ht="28.5" customHeight="1" x14ac:dyDescent="0.15">
      <c r="A18" s="11" t="s">
        <v>17</v>
      </c>
      <c r="B18" s="11" t="s">
        <v>12</v>
      </c>
      <c r="C18" s="12" t="s">
        <v>29</v>
      </c>
      <c r="D18" s="13">
        <v>6615</v>
      </c>
      <c r="E18" s="13">
        <v>251</v>
      </c>
      <c r="F18" s="14">
        <f t="shared" si="0"/>
        <v>3.794406651549509</v>
      </c>
      <c r="G18" s="13">
        <v>153</v>
      </c>
      <c r="H18" s="15">
        <f t="shared" si="2"/>
        <v>60.95617529880478</v>
      </c>
      <c r="I18" s="13">
        <v>10</v>
      </c>
      <c r="J18" s="15">
        <f t="shared" si="3"/>
        <v>3.9840637450199203</v>
      </c>
      <c r="K18" s="15">
        <f t="shared" si="1"/>
        <v>0.15117157974300832</v>
      </c>
    </row>
    <row r="19" spans="1:11" ht="28.5" customHeight="1" x14ac:dyDescent="0.15">
      <c r="A19" s="11" t="s">
        <v>12</v>
      </c>
      <c r="B19" s="11" t="s">
        <v>30</v>
      </c>
      <c r="C19" s="12" t="s">
        <v>31</v>
      </c>
      <c r="D19" s="13">
        <f>387+205</f>
        <v>592</v>
      </c>
      <c r="E19" s="13">
        <f>37+11</f>
        <v>48</v>
      </c>
      <c r="F19" s="14">
        <f t="shared" si="0"/>
        <v>8.1081081081081088</v>
      </c>
      <c r="G19" s="13">
        <f>34+8</f>
        <v>42</v>
      </c>
      <c r="H19" s="15">
        <f t="shared" si="2"/>
        <v>87.5</v>
      </c>
      <c r="I19" s="13">
        <f>3+1</f>
        <v>4</v>
      </c>
      <c r="J19" s="15">
        <f t="shared" si="3"/>
        <v>8.3333333333333321</v>
      </c>
      <c r="K19" s="15">
        <f t="shared" si="1"/>
        <v>0.67567567567567566</v>
      </c>
    </row>
    <row r="20" spans="1:11" ht="28.5" customHeight="1" x14ac:dyDescent="0.15">
      <c r="A20" s="11" t="s">
        <v>12</v>
      </c>
      <c r="B20" s="11" t="s">
        <v>30</v>
      </c>
      <c r="C20" s="12" t="s">
        <v>32</v>
      </c>
      <c r="D20" s="13">
        <f>981+422</f>
        <v>1403</v>
      </c>
      <c r="E20" s="13">
        <f>107+27</f>
        <v>134</v>
      </c>
      <c r="F20" s="14">
        <f t="shared" si="0"/>
        <v>9.5509622238061294</v>
      </c>
      <c r="G20" s="13">
        <f>92+25</f>
        <v>117</v>
      </c>
      <c r="H20" s="15">
        <f t="shared" si="2"/>
        <v>87.31343283582089</v>
      </c>
      <c r="I20" s="13">
        <f>1+1</f>
        <v>2</v>
      </c>
      <c r="J20" s="15">
        <f t="shared" si="3"/>
        <v>1.4925373134328357</v>
      </c>
      <c r="K20" s="15">
        <f t="shared" si="1"/>
        <v>0.14255167498218105</v>
      </c>
    </row>
    <row r="21" spans="1:11" ht="28.5" customHeight="1" x14ac:dyDescent="0.15">
      <c r="A21" s="16">
        <f>COUNTIF(A18:A20,"○")</f>
        <v>2</v>
      </c>
      <c r="B21" s="16">
        <f>COUNTIF(B18:B20,"○")</f>
        <v>3</v>
      </c>
      <c r="C21" s="17" t="s">
        <v>33</v>
      </c>
      <c r="D21" s="18">
        <f>SUM(D18:D20)</f>
        <v>8610</v>
      </c>
      <c r="E21" s="18">
        <f>SUM(E18:E20)</f>
        <v>433</v>
      </c>
      <c r="F21" s="15">
        <f t="shared" si="0"/>
        <v>5.0290360046457607</v>
      </c>
      <c r="G21" s="18">
        <f>SUM(G18:G20)</f>
        <v>312</v>
      </c>
      <c r="H21" s="15">
        <f t="shared" si="2"/>
        <v>72.055427251732112</v>
      </c>
      <c r="I21" s="18">
        <f>SUM(I18:I20)</f>
        <v>16</v>
      </c>
      <c r="J21" s="15">
        <f>I21/E21*100</f>
        <v>3.695150115473441</v>
      </c>
      <c r="K21" s="15">
        <f t="shared" si="1"/>
        <v>0.18583042973286876</v>
      </c>
    </row>
    <row r="22" spans="1:11" ht="28.5" customHeight="1" x14ac:dyDescent="0.15">
      <c r="A22" s="11" t="s">
        <v>12</v>
      </c>
      <c r="B22" s="11" t="s">
        <v>12</v>
      </c>
      <c r="C22" s="12" t="s">
        <v>34</v>
      </c>
      <c r="D22" s="13">
        <f>26+2663</f>
        <v>2689</v>
      </c>
      <c r="E22" s="13">
        <f>4+81</f>
        <v>85</v>
      </c>
      <c r="F22" s="14">
        <f t="shared" si="0"/>
        <v>3.1610264038676088</v>
      </c>
      <c r="G22" s="13">
        <f>3+74</f>
        <v>77</v>
      </c>
      <c r="H22" s="15">
        <f t="shared" si="2"/>
        <v>90.588235294117652</v>
      </c>
      <c r="I22" s="13">
        <f>1+4</f>
        <v>5</v>
      </c>
      <c r="J22" s="15">
        <f t="shared" si="3"/>
        <v>5.8823529411764701</v>
      </c>
      <c r="K22" s="15">
        <f t="shared" si="1"/>
        <v>0.18594272963927111</v>
      </c>
    </row>
    <row r="23" spans="1:11" ht="28.5" customHeight="1" x14ac:dyDescent="0.15">
      <c r="A23" s="11" t="s">
        <v>12</v>
      </c>
      <c r="B23" s="11" t="s">
        <v>12</v>
      </c>
      <c r="C23" s="12" t="s">
        <v>35</v>
      </c>
      <c r="D23" s="13">
        <f>135+1809</f>
        <v>1944</v>
      </c>
      <c r="E23" s="13">
        <f>22+49</f>
        <v>71</v>
      </c>
      <c r="F23" s="14">
        <f t="shared" si="0"/>
        <v>3.6522633744855968</v>
      </c>
      <c r="G23" s="13">
        <f>22+46</f>
        <v>68</v>
      </c>
      <c r="H23" s="15">
        <f t="shared" si="2"/>
        <v>95.774647887323937</v>
      </c>
      <c r="I23" s="13">
        <v>2</v>
      </c>
      <c r="J23" s="15">
        <f t="shared" si="3"/>
        <v>2.8169014084507045</v>
      </c>
      <c r="K23" s="15">
        <f t="shared" si="1"/>
        <v>0.102880658436214</v>
      </c>
    </row>
    <row r="24" spans="1:11" ht="28.5" customHeight="1" x14ac:dyDescent="0.15">
      <c r="A24" s="16">
        <f>COUNTIF(A22:A23,"○")</f>
        <v>2</v>
      </c>
      <c r="B24" s="16">
        <f>COUNTIF(B22:B23,"○")</f>
        <v>2</v>
      </c>
      <c r="C24" s="17" t="s">
        <v>36</v>
      </c>
      <c r="D24" s="18">
        <f>SUM(D22:D23)</f>
        <v>4633</v>
      </c>
      <c r="E24" s="18">
        <f>SUM(E22:E23)</f>
        <v>156</v>
      </c>
      <c r="F24" s="15">
        <f t="shared" si="0"/>
        <v>3.3671487157349453</v>
      </c>
      <c r="G24" s="18">
        <f>SUM(G22:G23)</f>
        <v>145</v>
      </c>
      <c r="H24" s="15">
        <f t="shared" si="2"/>
        <v>92.948717948717956</v>
      </c>
      <c r="I24" s="18">
        <f>SUM(I22:I23)</f>
        <v>7</v>
      </c>
      <c r="J24" s="15">
        <f>I24/E24*100</f>
        <v>4.4871794871794872</v>
      </c>
      <c r="K24" s="15">
        <f t="shared" si="1"/>
        <v>0.15109000647528598</v>
      </c>
    </row>
    <row r="25" spans="1:11" ht="28.5" customHeight="1" x14ac:dyDescent="0.15">
      <c r="A25" s="11" t="s">
        <v>12</v>
      </c>
      <c r="B25" s="11" t="s">
        <v>12</v>
      </c>
      <c r="C25" s="12" t="s">
        <v>37</v>
      </c>
      <c r="D25" s="13">
        <f>411+1301</f>
        <v>1712</v>
      </c>
      <c r="E25" s="13">
        <f>65+44</f>
        <v>109</v>
      </c>
      <c r="F25" s="14">
        <f t="shared" si="0"/>
        <v>6.3668224299065423</v>
      </c>
      <c r="G25" s="13">
        <f>38+43</f>
        <v>81</v>
      </c>
      <c r="H25" s="15">
        <f t="shared" si="2"/>
        <v>74.311926605504581</v>
      </c>
      <c r="I25" s="13">
        <f>2+4</f>
        <v>6</v>
      </c>
      <c r="J25" s="15">
        <f t="shared" si="3"/>
        <v>5.5045871559633035</v>
      </c>
      <c r="K25" s="15">
        <f t="shared" si="1"/>
        <v>0.35046728971962615</v>
      </c>
    </row>
    <row r="26" spans="1:11" ht="28.5" customHeight="1" x14ac:dyDescent="0.15">
      <c r="A26" s="11" t="s">
        <v>12</v>
      </c>
      <c r="B26" s="11" t="s">
        <v>12</v>
      </c>
      <c r="C26" s="12" t="s">
        <v>38</v>
      </c>
      <c r="D26" s="13">
        <f>669+1962</f>
        <v>2631</v>
      </c>
      <c r="E26" s="13">
        <f>92+80</f>
        <v>172</v>
      </c>
      <c r="F26" s="14">
        <f t="shared" si="0"/>
        <v>6.5374382364120107</v>
      </c>
      <c r="G26" s="13">
        <f>49+60</f>
        <v>109</v>
      </c>
      <c r="H26" s="15">
        <f t="shared" si="2"/>
        <v>63.372093023255815</v>
      </c>
      <c r="I26" s="13">
        <f>1+3</f>
        <v>4</v>
      </c>
      <c r="J26" s="15">
        <f t="shared" si="3"/>
        <v>2.3255813953488373</v>
      </c>
      <c r="K26" s="15">
        <f t="shared" si="1"/>
        <v>0.15203344735841884</v>
      </c>
    </row>
    <row r="27" spans="1:11" ht="28.5" customHeight="1" x14ac:dyDescent="0.15">
      <c r="A27" s="11" t="s">
        <v>12</v>
      </c>
      <c r="B27" s="11" t="s">
        <v>12</v>
      </c>
      <c r="C27" s="12" t="s">
        <v>39</v>
      </c>
      <c r="D27" s="13">
        <f>120+1523</f>
        <v>1643</v>
      </c>
      <c r="E27" s="13">
        <f>21+58</f>
        <v>79</v>
      </c>
      <c r="F27" s="14">
        <f t="shared" si="0"/>
        <v>4.8082775410833838</v>
      </c>
      <c r="G27" s="13">
        <f>13+47</f>
        <v>60</v>
      </c>
      <c r="H27" s="15">
        <f t="shared" si="2"/>
        <v>75.949367088607602</v>
      </c>
      <c r="I27" s="13">
        <v>1</v>
      </c>
      <c r="J27" s="15">
        <f t="shared" si="3"/>
        <v>1.2658227848101267</v>
      </c>
      <c r="K27" s="15">
        <f t="shared" si="1"/>
        <v>6.0864272671941569E-2</v>
      </c>
    </row>
    <row r="28" spans="1:11" ht="28.5" customHeight="1" x14ac:dyDescent="0.15">
      <c r="A28" s="16">
        <f>COUNTIF(A25:A27,"○")</f>
        <v>3</v>
      </c>
      <c r="B28" s="16">
        <f>COUNTIF(B25:B27,"○")</f>
        <v>3</v>
      </c>
      <c r="C28" s="17" t="s">
        <v>40</v>
      </c>
      <c r="D28" s="18">
        <f>SUM(D25:D27)</f>
        <v>5986</v>
      </c>
      <c r="E28" s="18">
        <f>SUM(E25:E27)</f>
        <v>360</v>
      </c>
      <c r="F28" s="15">
        <f t="shared" si="0"/>
        <v>6.0140327430671565</v>
      </c>
      <c r="G28" s="18">
        <f>SUM(G25:G27)</f>
        <v>250</v>
      </c>
      <c r="H28" s="15">
        <f t="shared" si="2"/>
        <v>69.444444444444443</v>
      </c>
      <c r="I28" s="18">
        <f>SUM(I25:I27)</f>
        <v>11</v>
      </c>
      <c r="J28" s="15">
        <f>I28/E28*100</f>
        <v>3.0555555555555554</v>
      </c>
      <c r="K28" s="15">
        <f t="shared" si="1"/>
        <v>0.18376211159371866</v>
      </c>
    </row>
    <row r="29" spans="1:11" ht="28.5" customHeight="1" x14ac:dyDescent="0.15">
      <c r="A29" s="11" t="s">
        <v>12</v>
      </c>
      <c r="B29" s="11" t="s">
        <v>12</v>
      </c>
      <c r="C29" s="12" t="s">
        <v>41</v>
      </c>
      <c r="D29" s="13">
        <f>2242+916</f>
        <v>3158</v>
      </c>
      <c r="E29" s="13">
        <f>87+31</f>
        <v>118</v>
      </c>
      <c r="F29" s="14">
        <f t="shared" si="0"/>
        <v>3.7365421152628246</v>
      </c>
      <c r="G29" s="13">
        <f>80+29</f>
        <v>109</v>
      </c>
      <c r="H29" s="15">
        <f t="shared" si="2"/>
        <v>92.372881355932208</v>
      </c>
      <c r="I29" s="13">
        <f>4+1</f>
        <v>5</v>
      </c>
      <c r="J29" s="15">
        <f t="shared" si="3"/>
        <v>4.2372881355932197</v>
      </c>
      <c r="K29" s="15">
        <f t="shared" si="1"/>
        <v>0.15832805573147563</v>
      </c>
    </row>
    <row r="30" spans="1:11" ht="28.5" customHeight="1" x14ac:dyDescent="0.15">
      <c r="A30" s="11" t="s">
        <v>12</v>
      </c>
      <c r="B30" s="11" t="s">
        <v>12</v>
      </c>
      <c r="C30" s="12" t="s">
        <v>42</v>
      </c>
      <c r="D30" s="13">
        <f>984+1465</f>
        <v>2449</v>
      </c>
      <c r="E30" s="13">
        <f>59+105</f>
        <v>164</v>
      </c>
      <c r="F30" s="14">
        <f t="shared" si="0"/>
        <v>6.6966108615761533</v>
      </c>
      <c r="G30" s="13">
        <f>47+97</f>
        <v>144</v>
      </c>
      <c r="H30" s="15">
        <f t="shared" si="2"/>
        <v>87.804878048780495</v>
      </c>
      <c r="I30" s="13">
        <f>6+9</f>
        <v>15</v>
      </c>
      <c r="J30" s="15">
        <f t="shared" si="3"/>
        <v>9.1463414634146343</v>
      </c>
      <c r="K30" s="15">
        <f t="shared" si="1"/>
        <v>0.6124948958758677</v>
      </c>
    </row>
    <row r="31" spans="1:11" ht="28.5" customHeight="1" x14ac:dyDescent="0.15">
      <c r="A31" s="11" t="s">
        <v>12</v>
      </c>
      <c r="B31" s="11" t="s">
        <v>12</v>
      </c>
      <c r="C31" s="12" t="s">
        <v>43</v>
      </c>
      <c r="D31" s="13">
        <f>594+770</f>
        <v>1364</v>
      </c>
      <c r="E31" s="13">
        <f>24+28</f>
        <v>52</v>
      </c>
      <c r="F31" s="14">
        <f t="shared" si="0"/>
        <v>3.8123167155425222</v>
      </c>
      <c r="G31" s="13">
        <f>22+26</f>
        <v>48</v>
      </c>
      <c r="H31" s="15">
        <f t="shared" si="2"/>
        <v>92.307692307692307</v>
      </c>
      <c r="I31" s="13">
        <f>1+1</f>
        <v>2</v>
      </c>
      <c r="J31" s="15">
        <f t="shared" si="3"/>
        <v>3.8461538461538463</v>
      </c>
      <c r="K31" s="15">
        <f t="shared" si="1"/>
        <v>0.1466275659824047</v>
      </c>
    </row>
    <row r="32" spans="1:11" ht="28.5" customHeight="1" x14ac:dyDescent="0.15">
      <c r="A32" s="11" t="s">
        <v>12</v>
      </c>
      <c r="B32" s="11" t="s">
        <v>12</v>
      </c>
      <c r="C32" s="12" t="s">
        <v>44</v>
      </c>
      <c r="D32" s="13">
        <f>2373+488</f>
        <v>2861</v>
      </c>
      <c r="E32" s="13">
        <f>95+28</f>
        <v>123</v>
      </c>
      <c r="F32" s="14">
        <f t="shared" si="0"/>
        <v>4.2991960852848656</v>
      </c>
      <c r="G32" s="13">
        <f>84+26</f>
        <v>110</v>
      </c>
      <c r="H32" s="15">
        <f t="shared" si="2"/>
        <v>89.430894308943081</v>
      </c>
      <c r="I32" s="13">
        <f>7+3</f>
        <v>10</v>
      </c>
      <c r="J32" s="15">
        <f t="shared" si="3"/>
        <v>8.1300813008130071</v>
      </c>
      <c r="K32" s="15">
        <f t="shared" si="1"/>
        <v>0.34952813701502972</v>
      </c>
    </row>
    <row r="33" spans="1:11" ht="28.5" customHeight="1" x14ac:dyDescent="0.15">
      <c r="A33" s="11" t="s">
        <v>12</v>
      </c>
      <c r="B33" s="11" t="s">
        <v>12</v>
      </c>
      <c r="C33" s="12" t="s">
        <v>45</v>
      </c>
      <c r="D33" s="13">
        <f>353+195</f>
        <v>548</v>
      </c>
      <c r="E33" s="13">
        <f>11+6</f>
        <v>17</v>
      </c>
      <c r="F33" s="14">
        <f t="shared" si="0"/>
        <v>3.1021897810218979</v>
      </c>
      <c r="G33" s="13">
        <f>10+6</f>
        <v>16</v>
      </c>
      <c r="H33" s="15">
        <f t="shared" si="2"/>
        <v>94.117647058823522</v>
      </c>
      <c r="I33" s="13">
        <v>3</v>
      </c>
      <c r="J33" s="15">
        <f t="shared" si="3"/>
        <v>17.647058823529413</v>
      </c>
      <c r="K33" s="15">
        <f t="shared" si="1"/>
        <v>0.54744525547445255</v>
      </c>
    </row>
    <row r="34" spans="1:11" ht="28.5" customHeight="1" x14ac:dyDescent="0.15">
      <c r="A34" s="11" t="s">
        <v>12</v>
      </c>
      <c r="B34" s="11" t="s">
        <v>12</v>
      </c>
      <c r="C34" s="12" t="s">
        <v>46</v>
      </c>
      <c r="D34" s="13">
        <f>649+1346</f>
        <v>1995</v>
      </c>
      <c r="E34" s="13">
        <f>47+94</f>
        <v>141</v>
      </c>
      <c r="F34" s="14">
        <f t="shared" si="0"/>
        <v>7.0676691729323311</v>
      </c>
      <c r="G34" s="13">
        <f>45+81</f>
        <v>126</v>
      </c>
      <c r="H34" s="15">
        <f t="shared" si="2"/>
        <v>89.361702127659569</v>
      </c>
      <c r="I34" s="13">
        <f>2+2</f>
        <v>4</v>
      </c>
      <c r="J34" s="15">
        <f t="shared" si="3"/>
        <v>2.8368794326241136</v>
      </c>
      <c r="K34" s="15">
        <f t="shared" si="1"/>
        <v>0.20050125313283207</v>
      </c>
    </row>
    <row r="35" spans="1:11" ht="28.5" customHeight="1" x14ac:dyDescent="0.15">
      <c r="A35" s="11" t="s">
        <v>12</v>
      </c>
      <c r="B35" s="11" t="s">
        <v>12</v>
      </c>
      <c r="C35" s="12" t="s">
        <v>47</v>
      </c>
      <c r="D35" s="13">
        <f>244+208</f>
        <v>452</v>
      </c>
      <c r="E35" s="13">
        <f>7+10</f>
        <v>17</v>
      </c>
      <c r="F35" s="14">
        <f t="shared" si="0"/>
        <v>3.7610619469026552</v>
      </c>
      <c r="G35" s="13">
        <f>6+10</f>
        <v>16</v>
      </c>
      <c r="H35" s="15">
        <f t="shared" si="2"/>
        <v>94.117647058823522</v>
      </c>
      <c r="I35" s="13">
        <v>2</v>
      </c>
      <c r="J35" s="15">
        <f t="shared" si="3"/>
        <v>11.76470588235294</v>
      </c>
      <c r="K35" s="15">
        <f t="shared" si="1"/>
        <v>0.44247787610619471</v>
      </c>
    </row>
    <row r="36" spans="1:11" ht="28.5" customHeight="1" x14ac:dyDescent="0.15">
      <c r="A36" s="16">
        <f>COUNTIF(A29:A35,"○")</f>
        <v>7</v>
      </c>
      <c r="B36" s="16">
        <f>COUNTIF(B29:B35,"○")</f>
        <v>7</v>
      </c>
      <c r="C36" s="17" t="s">
        <v>48</v>
      </c>
      <c r="D36" s="18">
        <f>SUM(D29:D35)</f>
        <v>12827</v>
      </c>
      <c r="E36" s="18">
        <f>SUM(E29:E35)</f>
        <v>632</v>
      </c>
      <c r="F36" s="15">
        <f t="shared" si="0"/>
        <v>4.9271068839167382</v>
      </c>
      <c r="G36" s="18">
        <f>SUM(G29:G35)</f>
        <v>569</v>
      </c>
      <c r="H36" s="15">
        <f t="shared" si="2"/>
        <v>90.031645569620252</v>
      </c>
      <c r="I36" s="18">
        <f>SUM(I29:I35)</f>
        <v>41</v>
      </c>
      <c r="J36" s="15">
        <f>I36/E36*100</f>
        <v>6.4873417721518987</v>
      </c>
      <c r="K36" s="15">
        <f t="shared" si="1"/>
        <v>0.3196382630389023</v>
      </c>
    </row>
    <row r="37" spans="1:11" ht="28.5" customHeight="1" x14ac:dyDescent="0.15">
      <c r="A37" s="11" t="s">
        <v>12</v>
      </c>
      <c r="B37" s="11" t="s">
        <v>12</v>
      </c>
      <c r="C37" s="12" t="s">
        <v>49</v>
      </c>
      <c r="D37" s="13">
        <f>2210+1190</f>
        <v>3400</v>
      </c>
      <c r="E37" s="13">
        <f>119+53</f>
        <v>172</v>
      </c>
      <c r="F37" s="14">
        <f t="shared" si="0"/>
        <v>5.0588235294117645</v>
      </c>
      <c r="G37" s="13">
        <f>88+49</f>
        <v>137</v>
      </c>
      <c r="H37" s="15">
        <f t="shared" si="2"/>
        <v>79.651162790697668</v>
      </c>
      <c r="I37" s="13">
        <f>4+5</f>
        <v>9</v>
      </c>
      <c r="J37" s="15">
        <f t="shared" si="3"/>
        <v>5.2325581395348841</v>
      </c>
      <c r="K37" s="15">
        <f t="shared" si="1"/>
        <v>0.26470588235294118</v>
      </c>
    </row>
    <row r="38" spans="1:11" ht="28.5" customHeight="1" x14ac:dyDescent="0.15">
      <c r="A38" s="11" t="s">
        <v>12</v>
      </c>
      <c r="B38" s="11" t="s">
        <v>12</v>
      </c>
      <c r="C38" s="12" t="s">
        <v>50</v>
      </c>
      <c r="D38" s="13">
        <f>815+1189</f>
        <v>2004</v>
      </c>
      <c r="E38" s="13">
        <f>70+44</f>
        <v>114</v>
      </c>
      <c r="F38" s="14">
        <f t="shared" si="0"/>
        <v>5.6886227544910177</v>
      </c>
      <c r="G38" s="13">
        <f>57+43</f>
        <v>100</v>
      </c>
      <c r="H38" s="15">
        <f t="shared" si="2"/>
        <v>87.719298245614027</v>
      </c>
      <c r="I38" s="13">
        <f>1+5</f>
        <v>6</v>
      </c>
      <c r="J38" s="15">
        <f t="shared" si="3"/>
        <v>5.2631578947368416</v>
      </c>
      <c r="K38" s="15">
        <f t="shared" si="1"/>
        <v>0.29940119760479045</v>
      </c>
    </row>
    <row r="39" spans="1:11" ht="28.5" customHeight="1" x14ac:dyDescent="0.15">
      <c r="A39" s="11" t="s">
        <v>30</v>
      </c>
      <c r="B39" s="11" t="s">
        <v>12</v>
      </c>
      <c r="C39" s="12" t="s">
        <v>51</v>
      </c>
      <c r="D39" s="13">
        <f>156+708</f>
        <v>864</v>
      </c>
      <c r="E39" s="13">
        <f>2+28</f>
        <v>30</v>
      </c>
      <c r="F39" s="14">
        <f t="shared" si="0"/>
        <v>3.4722222222222223</v>
      </c>
      <c r="G39" s="13">
        <f>1+28</f>
        <v>29</v>
      </c>
      <c r="H39" s="15">
        <f t="shared" si="2"/>
        <v>96.666666666666671</v>
      </c>
      <c r="I39" s="13">
        <v>2</v>
      </c>
      <c r="J39" s="15">
        <f t="shared" si="3"/>
        <v>6.666666666666667</v>
      </c>
      <c r="K39" s="15">
        <f t="shared" si="1"/>
        <v>0.23148148148148145</v>
      </c>
    </row>
    <row r="40" spans="1:11" ht="28.5" customHeight="1" x14ac:dyDescent="0.15">
      <c r="A40" s="11" t="s">
        <v>52</v>
      </c>
      <c r="B40" s="11" t="s">
        <v>12</v>
      </c>
      <c r="C40" s="12" t="s">
        <v>53</v>
      </c>
      <c r="D40" s="13">
        <f>515+785</f>
        <v>1300</v>
      </c>
      <c r="E40" s="13">
        <f>27+24</f>
        <v>51</v>
      </c>
      <c r="F40" s="14">
        <f t="shared" si="0"/>
        <v>3.9230769230769229</v>
      </c>
      <c r="G40" s="13">
        <f>18+23</f>
        <v>41</v>
      </c>
      <c r="H40" s="15">
        <f t="shared" si="2"/>
        <v>80.392156862745097</v>
      </c>
      <c r="I40" s="13">
        <v>1</v>
      </c>
      <c r="J40" s="15">
        <f t="shared" si="3"/>
        <v>1.9607843137254901</v>
      </c>
      <c r="K40" s="15">
        <f t="shared" si="1"/>
        <v>7.6923076923076927E-2</v>
      </c>
    </row>
    <row r="41" spans="1:11" ht="28.5" customHeight="1" x14ac:dyDescent="0.15">
      <c r="A41" s="11" t="s">
        <v>12</v>
      </c>
      <c r="B41" s="11" t="s">
        <v>12</v>
      </c>
      <c r="C41" s="12" t="s">
        <v>54</v>
      </c>
      <c r="D41" s="13">
        <f>305+514</f>
        <v>819</v>
      </c>
      <c r="E41" s="13">
        <f>23+21</f>
        <v>44</v>
      </c>
      <c r="F41" s="14">
        <f t="shared" si="0"/>
        <v>5.3724053724053729</v>
      </c>
      <c r="G41" s="13">
        <f>9+19</f>
        <v>28</v>
      </c>
      <c r="H41" s="15">
        <f t="shared" si="2"/>
        <v>63.636363636363633</v>
      </c>
      <c r="I41" s="13">
        <f>1+1</f>
        <v>2</v>
      </c>
      <c r="J41" s="15">
        <f t="shared" si="3"/>
        <v>4.5454545454545459</v>
      </c>
      <c r="K41" s="15">
        <f t="shared" si="1"/>
        <v>0.24420024420024419</v>
      </c>
    </row>
    <row r="42" spans="1:11" ht="28.5" customHeight="1" x14ac:dyDescent="0.15">
      <c r="A42" s="16">
        <f>COUNTIF(A37:A41,"○")</f>
        <v>5</v>
      </c>
      <c r="B42" s="16">
        <f>COUNTIF(B37:B41,"○")</f>
        <v>5</v>
      </c>
      <c r="C42" s="17" t="s">
        <v>55</v>
      </c>
      <c r="D42" s="18">
        <f>SUM(D37:D41)</f>
        <v>8387</v>
      </c>
      <c r="E42" s="18">
        <f>SUM(E37:E41)</f>
        <v>411</v>
      </c>
      <c r="F42" s="15">
        <f t="shared" si="0"/>
        <v>4.9004411589364496</v>
      </c>
      <c r="G42" s="18">
        <f>SUM(G37:G41)</f>
        <v>335</v>
      </c>
      <c r="H42" s="15">
        <f t="shared" si="2"/>
        <v>81.508515815085161</v>
      </c>
      <c r="I42" s="18">
        <f>SUM(I37:I41)</f>
        <v>20</v>
      </c>
      <c r="J42" s="15">
        <f>I42/E42*100</f>
        <v>4.8661800486618008</v>
      </c>
      <c r="K42" s="15">
        <f t="shared" si="1"/>
        <v>0.2384642899725766</v>
      </c>
    </row>
    <row r="43" spans="1:11" ht="28.5" customHeight="1" x14ac:dyDescent="0.15">
      <c r="A43" s="11" t="s">
        <v>12</v>
      </c>
      <c r="B43" s="11" t="s">
        <v>12</v>
      </c>
      <c r="C43" s="12" t="s">
        <v>56</v>
      </c>
      <c r="D43" s="13">
        <f>6191+2855</f>
        <v>9046</v>
      </c>
      <c r="E43" s="13">
        <f>247+123</f>
        <v>370</v>
      </c>
      <c r="F43" s="14">
        <f t="shared" si="0"/>
        <v>4.0902056157417643</v>
      </c>
      <c r="G43" s="13">
        <f>203+116</f>
        <v>319</v>
      </c>
      <c r="H43" s="15">
        <f t="shared" si="2"/>
        <v>86.21621621621621</v>
      </c>
      <c r="I43" s="13">
        <f>7+6</f>
        <v>13</v>
      </c>
      <c r="J43" s="15">
        <f t="shared" si="3"/>
        <v>3.5135135135135136</v>
      </c>
      <c r="K43" s="15">
        <f t="shared" si="1"/>
        <v>0.14370992703957552</v>
      </c>
    </row>
    <row r="44" spans="1:11" ht="28.5" customHeight="1" x14ac:dyDescent="0.15">
      <c r="A44" s="11" t="s">
        <v>12</v>
      </c>
      <c r="B44" s="11" t="s">
        <v>12</v>
      </c>
      <c r="C44" s="12" t="s">
        <v>57</v>
      </c>
      <c r="D44" s="13">
        <f>584+780</f>
        <v>1364</v>
      </c>
      <c r="E44" s="13">
        <f>39+38</f>
        <v>77</v>
      </c>
      <c r="F44" s="14">
        <f t="shared" si="0"/>
        <v>5.6451612903225801</v>
      </c>
      <c r="G44" s="13">
        <f>33+36</f>
        <v>69</v>
      </c>
      <c r="H44" s="15">
        <f t="shared" si="2"/>
        <v>89.610389610389603</v>
      </c>
      <c r="I44" s="13">
        <f>1</f>
        <v>1</v>
      </c>
      <c r="J44" s="15">
        <f t="shared" si="3"/>
        <v>1.2987012987012987</v>
      </c>
      <c r="K44" s="15">
        <f t="shared" si="1"/>
        <v>7.331378299120235E-2</v>
      </c>
    </row>
    <row r="45" spans="1:11" ht="28.5" customHeight="1" x14ac:dyDescent="0.15">
      <c r="A45" s="16">
        <f>COUNTIF(A43:A44,"○")</f>
        <v>2</v>
      </c>
      <c r="B45" s="16">
        <f>COUNTIF(B43:B44,"○")</f>
        <v>2</v>
      </c>
      <c r="C45" s="17" t="s">
        <v>58</v>
      </c>
      <c r="D45" s="18">
        <f>SUM(D43:D44)</f>
        <v>10410</v>
      </c>
      <c r="E45" s="18">
        <f>SUM(E43:E44)</f>
        <v>447</v>
      </c>
      <c r="F45" s="15">
        <f t="shared" si="0"/>
        <v>4.2939481268011521</v>
      </c>
      <c r="G45" s="18">
        <f>SUM(G43:G44)</f>
        <v>388</v>
      </c>
      <c r="H45" s="15">
        <f t="shared" si="2"/>
        <v>86.800894854586133</v>
      </c>
      <c r="I45" s="18">
        <f>SUM(I43:I44)</f>
        <v>14</v>
      </c>
      <c r="J45" s="15">
        <f>I45/E45*100</f>
        <v>3.1319910514541389</v>
      </c>
      <c r="K45" s="15">
        <f t="shared" si="1"/>
        <v>0.13448607108549471</v>
      </c>
    </row>
    <row r="46" spans="1:11" ht="28.5" customHeight="1" x14ac:dyDescent="0.15">
      <c r="A46" s="11" t="s">
        <v>12</v>
      </c>
      <c r="B46" s="11" t="s">
        <v>30</v>
      </c>
      <c r="C46" s="12" t="s">
        <v>59</v>
      </c>
      <c r="D46" s="13">
        <f>2243+3431</f>
        <v>5674</v>
      </c>
      <c r="E46" s="13">
        <f>99+103</f>
        <v>202</v>
      </c>
      <c r="F46" s="14">
        <f t="shared" si="0"/>
        <v>3.5600986958054284</v>
      </c>
      <c r="G46" s="13">
        <f>89+98</f>
        <v>187</v>
      </c>
      <c r="H46" s="15">
        <f t="shared" si="2"/>
        <v>92.574257425742573</v>
      </c>
      <c r="I46" s="13">
        <f>4+5</f>
        <v>9</v>
      </c>
      <c r="J46" s="15">
        <f t="shared" si="3"/>
        <v>4.455445544554455</v>
      </c>
      <c r="K46" s="15">
        <f t="shared" si="1"/>
        <v>0.15861825872400423</v>
      </c>
    </row>
    <row r="47" spans="1:11" ht="28.5" customHeight="1" x14ac:dyDescent="0.15">
      <c r="A47" s="11" t="s">
        <v>12</v>
      </c>
      <c r="B47" s="11" t="s">
        <v>52</v>
      </c>
      <c r="C47" s="12" t="s">
        <v>60</v>
      </c>
      <c r="D47" s="13">
        <f>736+1058</f>
        <v>1794</v>
      </c>
      <c r="E47" s="13">
        <f>38+31</f>
        <v>69</v>
      </c>
      <c r="F47" s="14">
        <f t="shared" si="0"/>
        <v>3.8461538461538463</v>
      </c>
      <c r="G47" s="13">
        <f>24+31</f>
        <v>55</v>
      </c>
      <c r="H47" s="15">
        <f t="shared" si="2"/>
        <v>79.710144927536234</v>
      </c>
      <c r="I47" s="13">
        <v>2</v>
      </c>
      <c r="J47" s="15">
        <f t="shared" si="3"/>
        <v>2.8985507246376812</v>
      </c>
      <c r="K47" s="15">
        <f t="shared" si="1"/>
        <v>0.11148272017837235</v>
      </c>
    </row>
    <row r="48" spans="1:11" ht="28.5" customHeight="1" x14ac:dyDescent="0.15">
      <c r="A48" s="11" t="s">
        <v>12</v>
      </c>
      <c r="B48" s="11" t="s">
        <v>12</v>
      </c>
      <c r="C48" s="12" t="s">
        <v>61</v>
      </c>
      <c r="D48" s="13">
        <f>135+2635</f>
        <v>2770</v>
      </c>
      <c r="E48" s="13">
        <f>28+93</f>
        <v>121</v>
      </c>
      <c r="F48" s="14">
        <f t="shared" si="0"/>
        <v>4.3682310469314078</v>
      </c>
      <c r="G48" s="13">
        <f>23+79</f>
        <v>102</v>
      </c>
      <c r="H48" s="15">
        <f t="shared" si="2"/>
        <v>84.297520661157023</v>
      </c>
      <c r="I48" s="13">
        <v>7</v>
      </c>
      <c r="J48" s="15">
        <f t="shared" si="3"/>
        <v>5.785123966942149</v>
      </c>
      <c r="K48" s="15">
        <f t="shared" si="1"/>
        <v>0.25270758122743681</v>
      </c>
    </row>
    <row r="49" spans="1:11" ht="28.5" customHeight="1" x14ac:dyDescent="0.15">
      <c r="A49" s="16">
        <f>COUNTIF(A46:A48,"○")</f>
        <v>3</v>
      </c>
      <c r="B49" s="16">
        <f>COUNTIF(B46:B48,"○")</f>
        <v>3</v>
      </c>
      <c r="C49" s="17" t="s">
        <v>62</v>
      </c>
      <c r="D49" s="18">
        <f>SUM(D46:D48)</f>
        <v>10238</v>
      </c>
      <c r="E49" s="18">
        <f>SUM(E46:E48)</f>
        <v>392</v>
      </c>
      <c r="F49" s="15">
        <f t="shared" si="0"/>
        <v>3.8288728267239698</v>
      </c>
      <c r="G49" s="18">
        <f>SUM(G46:G48)</f>
        <v>344</v>
      </c>
      <c r="H49" s="15">
        <f t="shared" si="2"/>
        <v>87.755102040816325</v>
      </c>
      <c r="I49" s="18">
        <f>SUM(I46:I48)</f>
        <v>18</v>
      </c>
      <c r="J49" s="15">
        <f>I49/E49*100</f>
        <v>4.591836734693878</v>
      </c>
      <c r="K49" s="15">
        <f t="shared" si="1"/>
        <v>0.17581558898222308</v>
      </c>
    </row>
    <row r="50" spans="1:11" ht="28.5" customHeight="1" x14ac:dyDescent="0.15">
      <c r="A50" s="11" t="s">
        <v>12</v>
      </c>
      <c r="B50" s="11" t="s">
        <v>12</v>
      </c>
      <c r="C50" s="12" t="s">
        <v>63</v>
      </c>
      <c r="D50" s="13">
        <f>684+810</f>
        <v>1494</v>
      </c>
      <c r="E50" s="13">
        <f>45+32</f>
        <v>77</v>
      </c>
      <c r="F50" s="14">
        <f t="shared" si="0"/>
        <v>5.1539491298527444</v>
      </c>
      <c r="G50" s="13">
        <f>16+32</f>
        <v>48</v>
      </c>
      <c r="H50" s="15">
        <f t="shared" si="2"/>
        <v>62.337662337662337</v>
      </c>
      <c r="I50" s="13">
        <f>1+1</f>
        <v>2</v>
      </c>
      <c r="J50" s="15">
        <f t="shared" si="3"/>
        <v>2.5974025974025974</v>
      </c>
      <c r="K50" s="15">
        <f t="shared" si="1"/>
        <v>0.13386880856760375</v>
      </c>
    </row>
    <row r="51" spans="1:11" ht="28.5" customHeight="1" x14ac:dyDescent="0.15">
      <c r="A51" s="11" t="s">
        <v>30</v>
      </c>
      <c r="B51" s="11" t="s">
        <v>12</v>
      </c>
      <c r="C51" s="12" t="s">
        <v>64</v>
      </c>
      <c r="D51" s="13">
        <f>540+1650</f>
        <v>2190</v>
      </c>
      <c r="E51" s="13">
        <f>24+53</f>
        <v>77</v>
      </c>
      <c r="F51" s="14">
        <f t="shared" si="0"/>
        <v>3.515981735159817</v>
      </c>
      <c r="G51" s="13">
        <f>16+53</f>
        <v>69</v>
      </c>
      <c r="H51" s="15">
        <f t="shared" si="2"/>
        <v>89.610389610389603</v>
      </c>
      <c r="I51" s="13">
        <f>2+5</f>
        <v>7</v>
      </c>
      <c r="J51" s="15">
        <f t="shared" si="3"/>
        <v>9.0909090909090917</v>
      </c>
      <c r="K51" s="15">
        <f t="shared" si="1"/>
        <v>0.31963470319634707</v>
      </c>
    </row>
    <row r="52" spans="1:11" ht="28.5" customHeight="1" x14ac:dyDescent="0.15">
      <c r="A52" s="11" t="s">
        <v>12</v>
      </c>
      <c r="B52" s="11" t="s">
        <v>12</v>
      </c>
      <c r="C52" s="12" t="s">
        <v>65</v>
      </c>
      <c r="D52" s="13">
        <f>296+2749</f>
        <v>3045</v>
      </c>
      <c r="E52" s="13">
        <f>25+91</f>
        <v>116</v>
      </c>
      <c r="F52" s="14">
        <f t="shared" si="0"/>
        <v>3.8095238095238098</v>
      </c>
      <c r="G52" s="13">
        <f>18+84</f>
        <v>102</v>
      </c>
      <c r="H52" s="15">
        <f t="shared" si="2"/>
        <v>87.931034482758619</v>
      </c>
      <c r="I52" s="13">
        <f>1+8</f>
        <v>9</v>
      </c>
      <c r="J52" s="15">
        <f t="shared" si="3"/>
        <v>7.7586206896551726</v>
      </c>
      <c r="K52" s="15">
        <f t="shared" si="1"/>
        <v>0.29556650246305421</v>
      </c>
    </row>
    <row r="53" spans="1:11" ht="28.5" customHeight="1" x14ac:dyDescent="0.15">
      <c r="A53" s="11" t="s">
        <v>66</v>
      </c>
      <c r="B53" s="11" t="s">
        <v>12</v>
      </c>
      <c r="C53" s="12" t="s">
        <v>67</v>
      </c>
      <c r="D53" s="13">
        <v>964</v>
      </c>
      <c r="E53" s="13">
        <v>31</v>
      </c>
      <c r="F53" s="14">
        <f t="shared" si="0"/>
        <v>3.2157676348547715</v>
      </c>
      <c r="G53" s="13">
        <v>28</v>
      </c>
      <c r="H53" s="15">
        <f t="shared" si="2"/>
        <v>90.322580645161281</v>
      </c>
      <c r="I53" s="13">
        <v>0</v>
      </c>
      <c r="J53" s="15">
        <f t="shared" si="3"/>
        <v>0</v>
      </c>
      <c r="K53" s="15">
        <f t="shared" si="1"/>
        <v>0</v>
      </c>
    </row>
    <row r="54" spans="1:11" ht="28.5" customHeight="1" x14ac:dyDescent="0.15">
      <c r="A54" s="16">
        <f>COUNTIF(A50:A53,"○")</f>
        <v>3</v>
      </c>
      <c r="B54" s="16">
        <f>COUNTIF(B50:B53,"○")</f>
        <v>4</v>
      </c>
      <c r="C54" s="17" t="s">
        <v>68</v>
      </c>
      <c r="D54" s="18">
        <f>SUM(D50:D53)</f>
        <v>7693</v>
      </c>
      <c r="E54" s="18">
        <f>SUM(E50:E53)</f>
        <v>301</v>
      </c>
      <c r="F54" s="15">
        <f t="shared" si="0"/>
        <v>3.9126478616924478</v>
      </c>
      <c r="G54" s="18">
        <f>SUM(G50:G53)</f>
        <v>247</v>
      </c>
      <c r="H54" s="15">
        <f t="shared" si="2"/>
        <v>82.059800664451828</v>
      </c>
      <c r="I54" s="18">
        <f>SUM(I50:I53)</f>
        <v>18</v>
      </c>
      <c r="J54" s="15">
        <f>I54/E54*100</f>
        <v>5.9800664451827243</v>
      </c>
      <c r="K54" s="15">
        <f t="shared" si="1"/>
        <v>0.23397894189522944</v>
      </c>
    </row>
    <row r="55" spans="1:11" ht="28.5" customHeight="1" x14ac:dyDescent="0.15">
      <c r="A55" s="11" t="s">
        <v>69</v>
      </c>
      <c r="B55" s="11" t="s">
        <v>70</v>
      </c>
      <c r="C55" s="12" t="s">
        <v>71</v>
      </c>
      <c r="D55" s="13">
        <f>5675+1885</f>
        <v>7560</v>
      </c>
      <c r="E55" s="13">
        <f>197+63</f>
        <v>260</v>
      </c>
      <c r="F55" s="14">
        <f t="shared" si="0"/>
        <v>3.4391534391534391</v>
      </c>
      <c r="G55" s="13">
        <f>155+58</f>
        <v>213</v>
      </c>
      <c r="H55" s="15">
        <f t="shared" si="2"/>
        <v>81.92307692307692</v>
      </c>
      <c r="I55" s="13">
        <f>8+6</f>
        <v>14</v>
      </c>
      <c r="J55" s="15">
        <f t="shared" si="3"/>
        <v>5.384615384615385</v>
      </c>
      <c r="K55" s="15">
        <f t="shared" si="1"/>
        <v>0.1851851851851852</v>
      </c>
    </row>
    <row r="56" spans="1:11" ht="28.5" customHeight="1" x14ac:dyDescent="0.15">
      <c r="A56" s="11" t="s">
        <v>12</v>
      </c>
      <c r="B56" s="11" t="s">
        <v>12</v>
      </c>
      <c r="C56" s="12" t="s">
        <v>72</v>
      </c>
      <c r="D56" s="13">
        <f>102+562</f>
        <v>664</v>
      </c>
      <c r="E56" s="13">
        <f>6+10</f>
        <v>16</v>
      </c>
      <c r="F56" s="14">
        <f t="shared" si="0"/>
        <v>2.4096385542168677</v>
      </c>
      <c r="G56" s="13">
        <f>5+10</f>
        <v>15</v>
      </c>
      <c r="H56" s="15">
        <f t="shared" si="2"/>
        <v>93.75</v>
      </c>
      <c r="I56" s="13">
        <v>1</v>
      </c>
      <c r="J56" s="15">
        <f t="shared" si="3"/>
        <v>6.25</v>
      </c>
      <c r="K56" s="15">
        <f t="shared" si="1"/>
        <v>0.15060240963855423</v>
      </c>
    </row>
    <row r="57" spans="1:11" ht="28.5" customHeight="1" x14ac:dyDescent="0.15">
      <c r="A57" s="11" t="s">
        <v>12</v>
      </c>
      <c r="B57" s="11" t="s">
        <v>30</v>
      </c>
      <c r="C57" s="12" t="s">
        <v>73</v>
      </c>
      <c r="D57" s="13">
        <f>905+806</f>
        <v>1711</v>
      </c>
      <c r="E57" s="13">
        <f>27+27</f>
        <v>54</v>
      </c>
      <c r="F57" s="14">
        <f t="shared" si="0"/>
        <v>3.1560490940970194</v>
      </c>
      <c r="G57" s="13">
        <f>22+25</f>
        <v>47</v>
      </c>
      <c r="H57" s="15">
        <f t="shared" si="2"/>
        <v>87.037037037037038</v>
      </c>
      <c r="I57" s="13">
        <v>3</v>
      </c>
      <c r="J57" s="15">
        <f t="shared" si="3"/>
        <v>5.5555555555555554</v>
      </c>
      <c r="K57" s="15">
        <f t="shared" si="1"/>
        <v>0.17533606078316774</v>
      </c>
    </row>
    <row r="58" spans="1:11" ht="28.5" customHeight="1" x14ac:dyDescent="0.15">
      <c r="A58" s="16">
        <f>COUNTIF(A55:A57,"○")</f>
        <v>3</v>
      </c>
      <c r="B58" s="16">
        <f>COUNTIF(B55:B57,"○")</f>
        <v>3</v>
      </c>
      <c r="C58" s="17" t="s">
        <v>74</v>
      </c>
      <c r="D58" s="18">
        <f>SUM(D55:D57)</f>
        <v>9935</v>
      </c>
      <c r="E58" s="18">
        <f>SUM(E55:E57)</f>
        <v>330</v>
      </c>
      <c r="F58" s="15">
        <f t="shared" si="0"/>
        <v>3.3215903371917461</v>
      </c>
      <c r="G58" s="18">
        <f>SUM(G55:G57)</f>
        <v>275</v>
      </c>
      <c r="H58" s="15">
        <f t="shared" si="2"/>
        <v>83.333333333333343</v>
      </c>
      <c r="I58" s="18">
        <f>SUM(I55:I57)</f>
        <v>18</v>
      </c>
      <c r="J58" s="15">
        <f>I58/E58*100</f>
        <v>5.4545454545454541</v>
      </c>
      <c r="K58" s="15">
        <f t="shared" si="1"/>
        <v>0.18117765475591344</v>
      </c>
    </row>
    <row r="59" spans="1:11" ht="28.5" customHeight="1" x14ac:dyDescent="0.15">
      <c r="A59" s="19">
        <f>SUM(A9,A12,A17,A21,A24,A28,A36,A42,A45,A49,A54,A58)</f>
        <v>41</v>
      </c>
      <c r="B59" s="19">
        <f>SUM(B9,B12,B17,B21,B24,B28,B36,B42,B45,B49,B54,B58)</f>
        <v>44</v>
      </c>
      <c r="C59" s="17" t="s">
        <v>75</v>
      </c>
      <c r="D59" s="18">
        <f>SUM(D9,D12,D17,D21,D24,D28,D36,D42,D45,D49,D54,D58)</f>
        <v>105765</v>
      </c>
      <c r="E59" s="18">
        <f>SUM(E9,E12,E17,E21,E24,E28,E36,E42,E45,E49,E54,E58)</f>
        <v>4745</v>
      </c>
      <c r="F59" s="15">
        <f t="shared" si="0"/>
        <v>4.4863612726327231</v>
      </c>
      <c r="G59" s="18">
        <f>SUM(G9,G12,G17,G21,G24,G28,G36,G42,G45,G49,G54,G58)</f>
        <v>3995</v>
      </c>
      <c r="H59" s="15">
        <f t="shared" si="2"/>
        <v>84.193888303477351</v>
      </c>
      <c r="I59" s="18">
        <f>SUM(I9,I12,I17,I21,I24,I28,I36,I42,I45,I49,I54,I58)</f>
        <v>245</v>
      </c>
      <c r="J59" s="15">
        <f>I59/E59*100</f>
        <v>5.1633298208640674</v>
      </c>
      <c r="K59" s="15">
        <f t="shared" si="1"/>
        <v>0.23164562946154213</v>
      </c>
    </row>
  </sheetData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2018-03-28T23:46:50Z</cp:lastPrinted>
  <dcterms:created xsi:type="dcterms:W3CDTF">2018-03-28T23:46:01Z</dcterms:created>
  <dcterms:modified xsi:type="dcterms:W3CDTF">2018-03-28T23:48:15Z</dcterms:modified>
</cp:coreProperties>
</file>